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90" yWindow="60" windowWidth="11745" windowHeight="8535" tabRatio="791" firstSheet="2" activeTab="2"/>
  </bookViews>
  <sheets>
    <sheet name="표지" sheetId="19" state="hidden" r:id="rId1"/>
    <sheet name="예산총칙" sheetId="20" state="hidden" r:id="rId2"/>
    <sheet name="시세총괄" sheetId="18" r:id="rId3"/>
    <sheet name="시세입" sheetId="17" state="hidden" r:id="rId4"/>
    <sheet name="시세출" sheetId="16" state="hidden" r:id="rId5"/>
    <sheet name="임직원보수일람표" sheetId="21" state="hidden" r:id="rId6"/>
  </sheets>
  <definedNames>
    <definedName name="_xlnm.Print_Area" localSheetId="4">'시세출'!$A$1:$Q$77</definedName>
    <definedName name="_xlnm.Print_Titles" localSheetId="2">'시세총괄'!$4:$5</definedName>
    <definedName name="_xlnm.Print_Titles" localSheetId="4">'시세출'!$4:$5</definedName>
  </definedNames>
  <calcPr calcId="145621"/>
</workbook>
</file>

<file path=xl/sharedStrings.xml><?xml version="1.0" encoding="utf-8"?>
<sst xmlns="http://schemas.openxmlformats.org/spreadsheetml/2006/main" count="379" uniqueCount="215">
  <si>
    <t>×</t>
  </si>
  <si>
    <t>명</t>
  </si>
  <si>
    <t>월</t>
  </si>
  <si>
    <t>기타잡수입</t>
  </si>
  <si>
    <t>총               계</t>
  </si>
  <si>
    <t>합    계</t>
  </si>
  <si>
    <t>소   계</t>
  </si>
  <si>
    <t>입소자부담금</t>
  </si>
  <si>
    <t>입소비용수입</t>
  </si>
  <si>
    <t>보조금수입</t>
  </si>
  <si>
    <t>전입금</t>
  </si>
  <si>
    <t>법인전입금</t>
  </si>
  <si>
    <t>이월금</t>
  </si>
  <si>
    <t>전년도이월금</t>
  </si>
  <si>
    <t>잡수입</t>
  </si>
  <si>
    <t>기타예금수입</t>
  </si>
  <si>
    <t>예금이자</t>
  </si>
  <si>
    <t xml:space="preserve"> 세입합계</t>
  </si>
  <si>
    <t>종사자수당</t>
  </si>
  <si>
    <t>입소비용</t>
  </si>
  <si>
    <t>세       입       부</t>
  </si>
  <si>
    <t>증감(B-A)</t>
  </si>
  <si>
    <t>산        출        내         역</t>
  </si>
  <si>
    <t>관</t>
  </si>
  <si>
    <t>항</t>
  </si>
  <si>
    <t>목</t>
  </si>
  <si>
    <t>금액</t>
  </si>
  <si>
    <t>비율(%)</t>
  </si>
  <si>
    <t>`예    산    총    칙`</t>
  </si>
  <si>
    <t>세   입</t>
  </si>
  <si>
    <t>세   출</t>
  </si>
  <si>
    <t>사 회 복 지 법 인 다 산 복 지 재 단</t>
  </si>
  <si>
    <t>임­직원보수일람표</t>
  </si>
  <si>
    <t>순위</t>
  </si>
  <si>
    <t>직종또는직위(급)</t>
  </si>
  <si>
    <t>성명</t>
  </si>
  <si>
    <t>호봉</t>
  </si>
  <si>
    <t>기본급</t>
  </si>
  <si>
    <t>본봉</t>
  </si>
  <si>
    <t>수당</t>
  </si>
  <si>
    <t>계</t>
  </si>
  <si>
    <t>공제액</t>
  </si>
  <si>
    <t>차감지급액</t>
  </si>
  <si>
    <t>기말수당</t>
  </si>
  <si>
    <t>정근수당</t>
  </si>
  <si>
    <t>효도</t>
  </si>
  <si>
    <t>교통비</t>
  </si>
  <si>
    <t>가계보조비</t>
  </si>
  <si>
    <t>복지수당</t>
  </si>
  <si>
    <t>사회복지사</t>
  </si>
  <si>
    <t>기타보조금</t>
  </si>
  <si>
    <t>세입세출 차인잔액없음.</t>
  </si>
  <si>
    <t>천원</t>
  </si>
  <si>
    <t>×</t>
  </si>
  <si>
    <t>(단위:천원)</t>
  </si>
  <si>
    <t>사업비</t>
  </si>
  <si>
    <t>반환금</t>
  </si>
  <si>
    <t>증감(B-A)</t>
  </si>
  <si>
    <t>세       출       부</t>
  </si>
  <si>
    <t>관</t>
  </si>
  <si>
    <t>항</t>
  </si>
  <si>
    <t>목</t>
  </si>
  <si>
    <t>금액</t>
  </si>
  <si>
    <t>비율(%)</t>
  </si>
  <si>
    <t>총               계</t>
  </si>
  <si>
    <t>사무비</t>
  </si>
  <si>
    <t>소   계</t>
  </si>
  <si>
    <t>인건비</t>
  </si>
  <si>
    <t>업무추진비</t>
  </si>
  <si>
    <t>시설운영비</t>
  </si>
  <si>
    <t>시설비</t>
  </si>
  <si>
    <t>자산취득비</t>
  </si>
  <si>
    <t>시설장비유지비</t>
  </si>
  <si>
    <t>예비비</t>
  </si>
  <si>
    <t>(단위:원)</t>
  </si>
  <si>
    <t>나. 세입부</t>
  </si>
  <si>
    <t>합    계</t>
  </si>
  <si>
    <t>명</t>
  </si>
  <si>
    <t>월</t>
  </si>
  <si>
    <t>다. 세출부</t>
  </si>
  <si>
    <t>산            출            근            거</t>
  </si>
  <si>
    <t>세출합계</t>
  </si>
  <si>
    <t>사무비합계</t>
  </si>
  <si>
    <t>급여</t>
  </si>
  <si>
    <t>상여금</t>
  </si>
  <si>
    <t>기말수당</t>
  </si>
  <si>
    <t>정근수당</t>
  </si>
  <si>
    <t>제수당</t>
  </si>
  <si>
    <t>교통비</t>
  </si>
  <si>
    <t>가계보조</t>
  </si>
  <si>
    <t>복지수당</t>
  </si>
  <si>
    <t>퇴직적립금</t>
  </si>
  <si>
    <t>사회보험부담비용</t>
  </si>
  <si>
    <t>국민건강보험</t>
  </si>
  <si>
    <t>장기요양보험</t>
  </si>
  <si>
    <t>국민연금</t>
  </si>
  <si>
    <t>고용보험료</t>
  </si>
  <si>
    <t>산재보험료</t>
  </si>
  <si>
    <t>회의비</t>
  </si>
  <si>
    <t>후원회 회의및다과비</t>
  </si>
  <si>
    <t>운영비</t>
  </si>
  <si>
    <t>여  비</t>
  </si>
  <si>
    <t>수용비및수수료</t>
  </si>
  <si>
    <t>공공요금</t>
  </si>
  <si>
    <t>제세공과금</t>
  </si>
  <si>
    <t>협회가입비,화재보험료,기타보험료</t>
  </si>
  <si>
    <t>재산    조성비</t>
  </si>
  <si>
    <t>재산조성비</t>
  </si>
  <si>
    <t>시설운영에필요한비품</t>
  </si>
  <si>
    <t>시설유지비</t>
  </si>
  <si>
    <t>생계비</t>
  </si>
  <si>
    <t>주식비,부식비등</t>
  </si>
  <si>
    <t>자립생활</t>
  </si>
  <si>
    <t>위생,건강,의,식생활</t>
  </si>
  <si>
    <t>회</t>
  </si>
  <si>
    <t>사회적응</t>
  </si>
  <si>
    <t>전화사용,안전교육등</t>
  </si>
  <si>
    <t>지역사회와의유대</t>
  </si>
  <si>
    <t>자원봉사자관리외</t>
  </si>
  <si>
    <t>가족과의유대</t>
  </si>
  <si>
    <t>가족유대관계및가정방문</t>
  </si>
  <si>
    <t>여가생활지원</t>
  </si>
  <si>
    <t>여가생활및여가기술습득</t>
  </si>
  <si>
    <t>직업생활지원</t>
  </si>
  <si>
    <t>정서안정</t>
  </si>
  <si>
    <t>생일파티및 개별상담</t>
  </si>
  <si>
    <t>의료지원</t>
  </si>
  <si>
    <t>의약품구입및병원비지원</t>
  </si>
  <si>
    <t>상하수도,전기료,전화요금,도시가스비 외</t>
  </si>
  <si>
    <t>직장생활,출퇴근지원</t>
  </si>
  <si>
    <t>사무,생활용품,신문대금</t>
  </si>
  <si>
    <t>잡지출</t>
  </si>
  <si>
    <t>상환금</t>
  </si>
  <si>
    <t>법인전입금</t>
  </si>
  <si>
    <t>가. 세입. 세출 총괄</t>
  </si>
  <si>
    <t>(단위:천원)</t>
  </si>
  <si>
    <t>세       입       부</t>
  </si>
  <si>
    <t>증감(B-A)</t>
  </si>
  <si>
    <t>세       출       부</t>
  </si>
  <si>
    <t>관</t>
  </si>
  <si>
    <t>항</t>
  </si>
  <si>
    <t>목</t>
  </si>
  <si>
    <t>금액</t>
  </si>
  <si>
    <t>비율(%)</t>
  </si>
  <si>
    <t>총               계</t>
  </si>
  <si>
    <t>입소자
부담금</t>
  </si>
  <si>
    <t>합        계</t>
  </si>
  <si>
    <t>사무비</t>
  </si>
  <si>
    <t>소   계</t>
  </si>
  <si>
    <t>인건비</t>
  </si>
  <si>
    <t>입소비용수입</t>
  </si>
  <si>
    <t>업무추진비</t>
  </si>
  <si>
    <t>보조금
수입</t>
  </si>
  <si>
    <t>시설운영비</t>
  </si>
  <si>
    <t>보조금수입</t>
  </si>
  <si>
    <t>재산
조성비</t>
  </si>
  <si>
    <t>시설비</t>
  </si>
  <si>
    <t>법인
전입금</t>
  </si>
  <si>
    <t>자산취득비</t>
  </si>
  <si>
    <t>법인전입금</t>
  </si>
  <si>
    <t>시설장비유지비</t>
  </si>
  <si>
    <t>사업비</t>
  </si>
  <si>
    <t>운영사업비</t>
  </si>
  <si>
    <t>상환금</t>
  </si>
  <si>
    <t>이월금</t>
  </si>
  <si>
    <t>반환금</t>
  </si>
  <si>
    <t>전년도이월금</t>
  </si>
  <si>
    <t>잡지출</t>
  </si>
  <si>
    <t>합       계</t>
  </si>
  <si>
    <t>잡수입</t>
  </si>
  <si>
    <t>예비비</t>
  </si>
  <si>
    <t>기타예금수입</t>
  </si>
  <si>
    <t>기타잡수입</t>
  </si>
  <si>
    <t>자격수당</t>
  </si>
  <si>
    <t>명</t>
  </si>
  <si>
    <t>월</t>
  </si>
  <si>
    <t>기타후생비</t>
  </si>
  <si>
    <t>예금이자 및 잡수입 반환</t>
  </si>
  <si>
    <t>직원교육</t>
  </si>
  <si>
    <t>직원직무능력향상교육</t>
  </si>
  <si>
    <t>회</t>
  </si>
  <si>
    <t>전년도이월금(보조금예금이자)</t>
  </si>
  <si>
    <t>전년도이월금(보조금)</t>
  </si>
  <si>
    <t>월</t>
  </si>
  <si>
    <t>원으로 한다.</t>
  </si>
  <si>
    <t>기관운영비</t>
  </si>
  <si>
    <t>2014년도 예산</t>
  </si>
  <si>
    <t xml:space="preserve"> 제2조. 세입·세출 예산의 상세한 내용은 세입·세출 예산 명세표와 같다. </t>
  </si>
  <si>
    <t>14예산(B)</t>
  </si>
  <si>
    <t>13예산(A)</t>
  </si>
  <si>
    <t>13예산(A)</t>
  </si>
  <si>
    <t>14예산(B)</t>
  </si>
  <si>
    <t>시간외수당</t>
  </si>
  <si>
    <t>시간</t>
  </si>
  <si>
    <t>13예산(A)</t>
  </si>
  <si>
    <t>14예산(B)</t>
  </si>
  <si>
    <t>가계안정지원비</t>
  </si>
  <si>
    <t>운영비</t>
  </si>
  <si>
    <t>인건비</t>
  </si>
  <si>
    <t>분</t>
  </si>
  <si>
    <t>기</t>
  </si>
  <si>
    <t>운영비</t>
  </si>
  <si>
    <t>급여(8호봉)</t>
  </si>
  <si>
    <t>명절휴가비</t>
  </si>
  <si>
    <t>운영비</t>
  </si>
  <si>
    <t>인건비</t>
  </si>
  <si>
    <t>급량비</t>
  </si>
  <si>
    <t>시간외수당</t>
  </si>
  <si>
    <t>급식비</t>
  </si>
  <si>
    <t>이재숙</t>
  </si>
  <si>
    <t>공 동 생 활 가 정(성모공동체)</t>
  </si>
  <si>
    <t xml:space="preserve"> 제1조. 2014년도 성모공동생활가정(성모공동체)  세입·세출 예산 총액은 </t>
  </si>
  <si>
    <t>2014년 성모공동체(공동생활가정) 예산서</t>
  </si>
  <si>
    <t>2014년 성모공동체(공동생활가정)예산서</t>
  </si>
  <si>
    <t>전년도이월금(보조금)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</si>
</sst>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_);[Red]\(#,##0\)"/>
    <numFmt numFmtId="178" formatCode="##,###"/>
    <numFmt numFmtId="179" formatCode="##,###,"/>
    <numFmt numFmtId="180" formatCode="0.0%"/>
  </numFmts>
  <fonts count="2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name val="가을체"/>
      <family val="1"/>
    </font>
    <font>
      <b/>
      <sz val="9"/>
      <name val="가을체"/>
      <family val="1"/>
    </font>
    <font>
      <b/>
      <sz val="14"/>
      <name val="돋움"/>
      <family val="3"/>
    </font>
    <font>
      <sz val="11"/>
      <name val="굴림"/>
      <family val="3"/>
    </font>
    <font>
      <b/>
      <sz val="24"/>
      <name val="굴림"/>
      <family val="3"/>
    </font>
    <font>
      <b/>
      <sz val="16"/>
      <name val="굴림"/>
      <family val="3"/>
    </font>
    <font>
      <b/>
      <sz val="14"/>
      <name val="굴림"/>
      <family val="3"/>
    </font>
    <font>
      <u val="single"/>
      <sz val="18"/>
      <name val="굴림"/>
      <family val="3"/>
    </font>
    <font>
      <sz val="18"/>
      <name val="굴림"/>
      <family val="3"/>
    </font>
    <font>
      <sz val="24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sz val="20"/>
      <name val="굴림"/>
      <family val="3"/>
    </font>
    <font>
      <sz val="8"/>
      <name val="굴림"/>
      <family val="3"/>
    </font>
    <font>
      <sz val="9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9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thin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/>
      <right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2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20" applyFont="1" applyAlignment="1">
      <alignment vertical="center"/>
    </xf>
    <xf numFmtId="41" fontId="0" fillId="0" borderId="0" xfId="20" applyFont="1" applyAlignment="1">
      <alignment horizontal="left" vertical="center"/>
    </xf>
    <xf numFmtId="41" fontId="0" fillId="0" borderId="0" xfId="20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41" fontId="8" fillId="0" borderId="0" xfId="20" applyFont="1" applyAlignment="1">
      <alignment horizontal="center" vertical="center"/>
    </xf>
    <xf numFmtId="41" fontId="8" fillId="0" borderId="0" xfId="20" applyFont="1" applyAlignment="1">
      <alignment vertical="center"/>
    </xf>
    <xf numFmtId="41" fontId="17" fillId="0" borderId="0" xfId="20" applyFont="1" applyBorder="1" applyAlignment="1">
      <alignment horizontal="left" vertical="center"/>
    </xf>
    <xf numFmtId="41" fontId="17" fillId="0" borderId="0" xfId="20" applyFont="1" applyBorder="1" applyAlignment="1">
      <alignment vertical="center"/>
    </xf>
    <xf numFmtId="41" fontId="17" fillId="0" borderId="0" xfId="20" applyFont="1" applyAlignment="1">
      <alignment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0" fontId="18" fillId="0" borderId="2" xfId="20" applyNumberFormat="1" applyFont="1" applyBorder="1" applyAlignment="1">
      <alignment horizontal="center" vertical="center" shrinkToFit="1"/>
    </xf>
    <xf numFmtId="0" fontId="18" fillId="0" borderId="3" xfId="20" applyNumberFormat="1" applyFont="1" applyBorder="1" applyAlignment="1">
      <alignment horizontal="center" vertical="center" shrinkToFit="1"/>
    </xf>
    <xf numFmtId="177" fontId="18" fillId="0" borderId="3" xfId="20" applyNumberFormat="1" applyFont="1" applyBorder="1" applyAlignment="1">
      <alignment horizontal="center" vertical="center" shrinkToFit="1"/>
    </xf>
    <xf numFmtId="177" fontId="18" fillId="0" borderId="3" xfId="20" applyNumberFormat="1" applyFont="1" applyBorder="1" applyAlignment="1">
      <alignment vertical="center" shrinkToFit="1"/>
    </xf>
    <xf numFmtId="41" fontId="8" fillId="0" borderId="0" xfId="20" applyFont="1" applyBorder="1" applyAlignment="1">
      <alignment vertical="center"/>
    </xf>
    <xf numFmtId="41" fontId="19" fillId="0" borderId="0" xfId="20" applyFont="1" applyBorder="1" applyAlignment="1">
      <alignment vertical="center" shrinkToFit="1"/>
    </xf>
    <xf numFmtId="177" fontId="18" fillId="0" borderId="4" xfId="20" applyNumberFormat="1" applyFont="1" applyBorder="1" applyAlignment="1">
      <alignment vertical="center" shrinkToFit="1"/>
    </xf>
    <xf numFmtId="0" fontId="15" fillId="2" borderId="5" xfId="0" applyFont="1" applyFill="1" applyBorder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/>
    <xf numFmtId="0" fontId="11" fillId="0" borderId="0" xfId="0" applyFont="1"/>
    <xf numFmtId="179" fontId="3" fillId="0" borderId="0" xfId="20" applyNumberFormat="1" applyFont="1" applyAlignment="1">
      <alignment vertical="center"/>
    </xf>
    <xf numFmtId="178" fontId="0" fillId="0" borderId="0" xfId="20" applyNumberFormat="1" applyFont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79" fontId="19" fillId="0" borderId="10" xfId="20" applyNumberFormat="1" applyFont="1" applyBorder="1" applyAlignment="1">
      <alignment vertical="center"/>
    </xf>
    <xf numFmtId="179" fontId="19" fillId="0" borderId="10" xfId="0" applyNumberFormat="1" applyFont="1" applyBorder="1" applyAlignment="1">
      <alignment horizontal="right" vertical="center"/>
    </xf>
    <xf numFmtId="9" fontId="19" fillId="0" borderId="11" xfId="20" applyNumberFormat="1" applyFont="1" applyBorder="1" applyAlignment="1">
      <alignment vertical="center"/>
    </xf>
    <xf numFmtId="179" fontId="19" fillId="0" borderId="12" xfId="2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horizontal="right" vertical="center"/>
    </xf>
    <xf numFmtId="9" fontId="19" fillId="0" borderId="13" xfId="2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79" fontId="19" fillId="0" borderId="1" xfId="20" applyNumberFormat="1" applyFont="1" applyBorder="1" applyAlignment="1">
      <alignment vertical="center"/>
    </xf>
    <xf numFmtId="179" fontId="19" fillId="0" borderId="1" xfId="0" applyNumberFormat="1" applyFont="1" applyBorder="1" applyAlignment="1">
      <alignment horizontal="right" vertical="center"/>
    </xf>
    <xf numFmtId="9" fontId="19" fillId="0" borderId="8" xfId="20" applyNumberFormat="1" applyFont="1" applyBorder="1" applyAlignment="1">
      <alignment vertical="center"/>
    </xf>
    <xf numFmtId="41" fontId="19" fillId="0" borderId="0" xfId="20" applyFont="1" applyAlignment="1">
      <alignment horizontal="right"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Alignment="1">
      <alignment vertical="center"/>
    </xf>
    <xf numFmtId="41" fontId="15" fillId="0" borderId="0" xfId="2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77" fontId="15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vertical="center"/>
    </xf>
    <xf numFmtId="179" fontId="8" fillId="0" borderId="0" xfId="20" applyNumberFormat="1" applyFont="1" applyAlignment="1">
      <alignment vertical="center"/>
    </xf>
    <xf numFmtId="179" fontId="15" fillId="0" borderId="0" xfId="20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179" fontId="19" fillId="0" borderId="15" xfId="2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horizontal="right" vertical="center"/>
    </xf>
    <xf numFmtId="9" fontId="19" fillId="0" borderId="16" xfId="2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0" xfId="20" applyFont="1" applyAlignment="1">
      <alignment vertical="center"/>
    </xf>
    <xf numFmtId="0" fontId="19" fillId="0" borderId="0" xfId="0" applyFont="1" applyAlignment="1">
      <alignment vertical="center"/>
    </xf>
    <xf numFmtId="9" fontId="19" fillId="0" borderId="19" xfId="20" applyNumberFormat="1" applyFont="1" applyBorder="1" applyAlignment="1">
      <alignment vertical="center"/>
    </xf>
    <xf numFmtId="177" fontId="19" fillId="0" borderId="19" xfId="0" applyNumberFormat="1" applyFont="1" applyBorder="1" applyAlignment="1">
      <alignment horizontal="left" vertical="center"/>
    </xf>
    <xf numFmtId="177" fontId="19" fillId="0" borderId="20" xfId="0" applyNumberFormat="1" applyFont="1" applyBorder="1" applyAlignment="1">
      <alignment horizontal="right" vertical="center"/>
    </xf>
    <xf numFmtId="177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41" fontId="19" fillId="0" borderId="21" xfId="0" applyNumberFormat="1" applyFont="1" applyBorder="1" applyAlignment="1">
      <alignment vertical="center"/>
    </xf>
    <xf numFmtId="179" fontId="19" fillId="0" borderId="12" xfId="2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9" fontId="19" fillId="0" borderId="19" xfId="2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177" fontId="19" fillId="0" borderId="20" xfId="20" applyNumberFormat="1" applyFont="1" applyBorder="1" applyAlignment="1">
      <alignment horizontal="left" vertical="center"/>
    </xf>
    <xf numFmtId="177" fontId="19" fillId="0" borderId="20" xfId="0" applyNumberFormat="1" applyFont="1" applyBorder="1" applyAlignment="1">
      <alignment vertical="center"/>
    </xf>
    <xf numFmtId="177" fontId="19" fillId="0" borderId="20" xfId="0" applyNumberFormat="1" applyFont="1" applyBorder="1" applyAlignment="1">
      <alignment horizontal="left" vertical="center"/>
    </xf>
    <xf numFmtId="41" fontId="19" fillId="0" borderId="20" xfId="2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41" fontId="19" fillId="0" borderId="20" xfId="20" applyFont="1" applyBorder="1" applyAlignment="1">
      <alignment horizontal="center" vertical="center"/>
    </xf>
    <xf numFmtId="176" fontId="19" fillId="0" borderId="21" xfId="0" applyNumberFormat="1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77" fontId="19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horizontal="left" vertical="center"/>
    </xf>
    <xf numFmtId="41" fontId="19" fillId="0" borderId="23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8" fillId="0" borderId="0" xfId="20" applyFont="1" applyAlignment="1">
      <alignment horizontal="left" vertical="center"/>
    </xf>
    <xf numFmtId="0" fontId="20" fillId="0" borderId="0" xfId="0" applyFont="1" applyAlignment="1">
      <alignment vertical="center"/>
    </xf>
    <xf numFmtId="41" fontId="20" fillId="0" borderId="0" xfId="20" applyFont="1" applyAlignment="1">
      <alignment vertical="center"/>
    </xf>
    <xf numFmtId="178" fontId="20" fillId="0" borderId="0" xfId="20" applyNumberFormat="1" applyFont="1" applyAlignment="1">
      <alignment vertical="center"/>
    </xf>
    <xf numFmtId="178" fontId="8" fillId="0" borderId="0" xfId="20" applyNumberFormat="1" applyFont="1" applyAlignment="1">
      <alignment vertical="center"/>
    </xf>
    <xf numFmtId="41" fontId="19" fillId="0" borderId="0" xfId="20" applyFont="1" applyAlignment="1">
      <alignment horizontal="left" vertical="center"/>
    </xf>
    <xf numFmtId="179" fontId="19" fillId="0" borderId="10" xfId="20" applyNumberFormat="1" applyFont="1" applyBorder="1" applyAlignment="1">
      <alignment horizontal="right" vertical="center" shrinkToFit="1"/>
    </xf>
    <xf numFmtId="179" fontId="19" fillId="0" borderId="10" xfId="20" applyNumberFormat="1" applyFont="1" applyBorder="1" applyAlignment="1">
      <alignment horizontal="right" vertical="center"/>
    </xf>
    <xf numFmtId="9" fontId="19" fillId="0" borderId="10" xfId="20" applyNumberFormat="1" applyFont="1" applyBorder="1" applyAlignment="1">
      <alignment horizontal="right" vertical="center"/>
    </xf>
    <xf numFmtId="177" fontId="19" fillId="0" borderId="24" xfId="20" applyNumberFormat="1" applyFont="1" applyBorder="1" applyAlignment="1">
      <alignment horizontal="left" vertical="center"/>
    </xf>
    <xf numFmtId="177" fontId="19" fillId="0" borderId="24" xfId="20" applyNumberFormat="1" applyFont="1" applyBorder="1" applyAlignment="1">
      <alignment horizontal="right" vertical="center"/>
    </xf>
    <xf numFmtId="177" fontId="19" fillId="0" borderId="24" xfId="20" applyNumberFormat="1" applyFont="1" applyBorder="1" applyAlignment="1">
      <alignment horizontal="center" vertical="center"/>
    </xf>
    <xf numFmtId="177" fontId="19" fillId="0" borderId="25" xfId="20" applyNumberFormat="1" applyFont="1" applyBorder="1" applyAlignment="1">
      <alignment horizontal="right" vertical="center"/>
    </xf>
    <xf numFmtId="179" fontId="19" fillId="0" borderId="12" xfId="20" applyNumberFormat="1" applyFont="1" applyBorder="1" applyAlignment="1">
      <alignment horizontal="right" vertical="center" shrinkToFit="1"/>
    </xf>
    <xf numFmtId="177" fontId="19" fillId="0" borderId="20" xfId="20" applyNumberFormat="1" applyFont="1" applyBorder="1" applyAlignment="1">
      <alignment horizontal="right" vertical="center"/>
    </xf>
    <xf numFmtId="177" fontId="19" fillId="0" borderId="20" xfId="20" applyNumberFormat="1" applyFont="1" applyBorder="1" applyAlignment="1">
      <alignment horizontal="center" vertical="center"/>
    </xf>
    <xf numFmtId="177" fontId="19" fillId="0" borderId="21" xfId="20" applyNumberFormat="1" applyFont="1" applyBorder="1" applyAlignment="1">
      <alignment horizontal="right" vertical="center"/>
    </xf>
    <xf numFmtId="177" fontId="19" fillId="0" borderId="0" xfId="20" applyNumberFormat="1" applyFont="1" applyBorder="1" applyAlignment="1">
      <alignment horizontal="left" vertical="center"/>
    </xf>
    <xf numFmtId="177" fontId="19" fillId="0" borderId="0" xfId="20" applyNumberFormat="1" applyFont="1" applyBorder="1" applyAlignment="1">
      <alignment horizontal="right" vertical="center"/>
    </xf>
    <xf numFmtId="0" fontId="19" fillId="0" borderId="0" xfId="20" applyNumberFormat="1" applyFont="1" applyBorder="1" applyAlignment="1">
      <alignment horizontal="center" vertical="center"/>
    </xf>
    <xf numFmtId="177" fontId="19" fillId="0" borderId="0" xfId="2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19" fillId="0" borderId="0" xfId="20" applyNumberFormat="1" applyFont="1" applyBorder="1" applyAlignment="1">
      <alignment horizontal="right" vertical="center"/>
    </xf>
    <xf numFmtId="177" fontId="19" fillId="0" borderId="26" xfId="20" applyNumberFormat="1" applyFont="1" applyBorder="1" applyAlignment="1">
      <alignment horizontal="right" vertical="center"/>
    </xf>
    <xf numFmtId="177" fontId="19" fillId="0" borderId="27" xfId="20" applyNumberFormat="1" applyFont="1" applyBorder="1" applyAlignment="1">
      <alignment horizontal="left" vertical="center"/>
    </xf>
    <xf numFmtId="177" fontId="19" fillId="0" borderId="27" xfId="20" applyNumberFormat="1" applyFont="1" applyBorder="1" applyAlignment="1">
      <alignment horizontal="right" vertical="center"/>
    </xf>
    <xf numFmtId="0" fontId="19" fillId="0" borderId="27" xfId="20" applyNumberFormat="1" applyFont="1" applyBorder="1" applyAlignment="1">
      <alignment horizontal="center" vertical="center"/>
    </xf>
    <xf numFmtId="177" fontId="19" fillId="0" borderId="27" xfId="20" applyNumberFormat="1" applyFont="1" applyBorder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177" fontId="19" fillId="0" borderId="27" xfId="0" applyNumberFormat="1" applyFont="1" applyBorder="1" applyAlignment="1">
      <alignment horizontal="right" vertical="center"/>
    </xf>
    <xf numFmtId="0" fontId="19" fillId="0" borderId="27" xfId="20" applyNumberFormat="1" applyFont="1" applyBorder="1" applyAlignment="1">
      <alignment horizontal="right" vertical="center"/>
    </xf>
    <xf numFmtId="177" fontId="19" fillId="0" borderId="28" xfId="2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17" xfId="20" applyNumberFormat="1" applyFont="1" applyBorder="1" applyAlignment="1">
      <alignment horizontal="left" vertical="center"/>
    </xf>
    <xf numFmtId="177" fontId="19" fillId="0" borderId="17" xfId="20" applyNumberFormat="1" applyFont="1" applyBorder="1" applyAlignment="1">
      <alignment horizontal="right" vertical="center"/>
    </xf>
    <xf numFmtId="0" fontId="19" fillId="0" borderId="17" xfId="20" applyNumberFormat="1" applyFont="1" applyBorder="1" applyAlignment="1">
      <alignment horizontal="center" vertical="center"/>
    </xf>
    <xf numFmtId="177" fontId="19" fillId="0" borderId="17" xfId="20" applyNumberFormat="1" applyFont="1" applyBorder="1" applyAlignment="1">
      <alignment horizontal="center" vertical="center"/>
    </xf>
    <xf numFmtId="177" fontId="19" fillId="0" borderId="17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0" fontId="19" fillId="0" borderId="17" xfId="20" applyNumberFormat="1" applyFont="1" applyBorder="1" applyAlignment="1">
      <alignment horizontal="right" vertical="center"/>
    </xf>
    <xf numFmtId="177" fontId="19" fillId="0" borderId="18" xfId="20" applyNumberFormat="1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 vertical="center"/>
    </xf>
    <xf numFmtId="13" fontId="19" fillId="0" borderId="20" xfId="20" applyNumberFormat="1" applyFont="1" applyBorder="1" applyAlignment="1">
      <alignment horizontal="center" vertical="center"/>
    </xf>
    <xf numFmtId="0" fontId="19" fillId="0" borderId="20" xfId="2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3" fontId="19" fillId="0" borderId="0" xfId="20" applyNumberFormat="1" applyFont="1" applyBorder="1" applyAlignment="1">
      <alignment horizontal="center" vertical="center"/>
    </xf>
    <xf numFmtId="180" fontId="19" fillId="0" borderId="0" xfId="20" applyNumberFormat="1" applyFont="1" applyBorder="1" applyAlignment="1">
      <alignment horizontal="right" vertical="center"/>
    </xf>
    <xf numFmtId="10" fontId="19" fillId="0" borderId="0" xfId="20" applyNumberFormat="1" applyFont="1" applyBorder="1" applyAlignment="1">
      <alignment horizontal="right" vertical="center"/>
    </xf>
    <xf numFmtId="177" fontId="19" fillId="0" borderId="22" xfId="20" applyNumberFormat="1" applyFont="1" applyBorder="1" applyAlignment="1">
      <alignment horizontal="right" vertical="center"/>
    </xf>
    <xf numFmtId="177" fontId="19" fillId="0" borderId="22" xfId="20" applyNumberFormat="1" applyFont="1" applyBorder="1" applyAlignment="1">
      <alignment horizontal="center" vertical="center"/>
    </xf>
    <xf numFmtId="177" fontId="19" fillId="0" borderId="23" xfId="20" applyNumberFormat="1" applyFont="1" applyBorder="1" applyAlignment="1">
      <alignment horizontal="right"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9" fontId="19" fillId="0" borderId="12" xfId="2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41" fontId="22" fillId="0" borderId="0" xfId="20" applyFont="1" applyAlignment="1">
      <alignment vertical="center"/>
    </xf>
    <xf numFmtId="179" fontId="19" fillId="0" borderId="29" xfId="20" applyNumberFormat="1" applyFont="1" applyBorder="1" applyAlignment="1">
      <alignment vertical="center" shrinkToFit="1"/>
    </xf>
    <xf numFmtId="179" fontId="19" fillId="0" borderId="29" xfId="20" applyNumberFormat="1" applyFont="1" applyBorder="1" applyAlignment="1">
      <alignment vertical="center"/>
    </xf>
    <xf numFmtId="9" fontId="19" fillId="0" borderId="29" xfId="20" applyNumberFormat="1" applyFont="1" applyBorder="1" applyAlignment="1">
      <alignment vertical="center"/>
    </xf>
    <xf numFmtId="179" fontId="19" fillId="0" borderId="30" xfId="20" applyNumberFormat="1" applyFont="1" applyBorder="1" applyAlignment="1">
      <alignment vertical="center" shrinkToFit="1"/>
    </xf>
    <xf numFmtId="179" fontId="19" fillId="0" borderId="30" xfId="20" applyNumberFormat="1" applyFont="1" applyBorder="1" applyAlignment="1">
      <alignment vertical="center"/>
    </xf>
    <xf numFmtId="9" fontId="19" fillId="0" borderId="30" xfId="2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9" fontId="19" fillId="0" borderId="1" xfId="2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shrinkToFit="1"/>
    </xf>
    <xf numFmtId="179" fontId="19" fillId="0" borderId="1" xfId="20" applyNumberFormat="1" applyFont="1" applyBorder="1" applyAlignment="1">
      <alignment vertical="center" shrinkToFit="1"/>
    </xf>
    <xf numFmtId="177" fontId="19" fillId="0" borderId="22" xfId="20" applyNumberFormat="1" applyFont="1" applyBorder="1" applyAlignment="1">
      <alignment horizontal="left" vertical="center"/>
    </xf>
    <xf numFmtId="177" fontId="19" fillId="0" borderId="22" xfId="0" applyNumberFormat="1" applyFont="1" applyBorder="1" applyAlignment="1">
      <alignment horizontal="right" vertical="center"/>
    </xf>
    <xf numFmtId="10" fontId="19" fillId="0" borderId="22" xfId="2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9" fillId="3" borderId="12" xfId="0" applyFont="1" applyFill="1" applyBorder="1" applyAlignment="1">
      <alignment horizontal="center" vertical="center"/>
    </xf>
    <xf numFmtId="179" fontId="19" fillId="3" borderId="12" xfId="20" applyNumberFormat="1" applyFont="1" applyFill="1" applyBorder="1" applyAlignment="1">
      <alignment horizontal="right" vertical="center" shrinkToFit="1"/>
    </xf>
    <xf numFmtId="179" fontId="19" fillId="3" borderId="12" xfId="20" applyNumberFormat="1" applyFont="1" applyFill="1" applyBorder="1" applyAlignment="1">
      <alignment horizontal="right" vertical="center"/>
    </xf>
    <xf numFmtId="9" fontId="19" fillId="3" borderId="12" xfId="20" applyNumberFormat="1" applyFont="1" applyFill="1" applyBorder="1" applyAlignment="1">
      <alignment horizontal="right" vertical="center"/>
    </xf>
    <xf numFmtId="177" fontId="19" fillId="3" borderId="20" xfId="20" applyNumberFormat="1" applyFont="1" applyFill="1" applyBorder="1" applyAlignment="1">
      <alignment horizontal="left" vertical="center"/>
    </xf>
    <xf numFmtId="177" fontId="19" fillId="3" borderId="20" xfId="20" applyNumberFormat="1" applyFont="1" applyFill="1" applyBorder="1" applyAlignment="1">
      <alignment horizontal="right" vertical="center"/>
    </xf>
    <xf numFmtId="177" fontId="19" fillId="3" borderId="20" xfId="20" applyNumberFormat="1" applyFont="1" applyFill="1" applyBorder="1" applyAlignment="1">
      <alignment horizontal="center" vertical="center"/>
    </xf>
    <xf numFmtId="177" fontId="19" fillId="3" borderId="21" xfId="20" applyNumberFormat="1" applyFont="1" applyFill="1" applyBorder="1" applyAlignment="1">
      <alignment horizontal="right" vertical="center"/>
    </xf>
    <xf numFmtId="41" fontId="19" fillId="3" borderId="0" xfId="2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79" fontId="19" fillId="0" borderId="10" xfId="20" applyNumberFormat="1" applyFont="1" applyFill="1" applyBorder="1" applyAlignment="1">
      <alignment vertical="center" shrinkToFit="1"/>
    </xf>
    <xf numFmtId="179" fontId="19" fillId="0" borderId="15" xfId="20" applyNumberFormat="1" applyFont="1" applyFill="1" applyBorder="1" applyAlignment="1">
      <alignment horizontal="right" vertical="center"/>
    </xf>
    <xf numFmtId="9" fontId="19" fillId="0" borderId="12" xfId="20" applyNumberFormat="1" applyFont="1" applyFill="1" applyBorder="1" applyAlignment="1">
      <alignment horizontal="right" vertical="center"/>
    </xf>
    <xf numFmtId="177" fontId="19" fillId="0" borderId="31" xfId="20" applyNumberFormat="1" applyFont="1" applyFill="1" applyBorder="1" applyAlignment="1">
      <alignment horizontal="left" vertical="center"/>
    </xf>
    <xf numFmtId="177" fontId="19" fillId="0" borderId="32" xfId="20" applyNumberFormat="1" applyFont="1" applyFill="1" applyBorder="1" applyAlignment="1">
      <alignment horizontal="right" vertical="center"/>
    </xf>
    <xf numFmtId="0" fontId="19" fillId="0" borderId="32" xfId="20" applyNumberFormat="1" applyFont="1" applyFill="1" applyBorder="1" applyAlignment="1">
      <alignment horizontal="right" vertical="center"/>
    </xf>
    <xf numFmtId="177" fontId="19" fillId="0" borderId="32" xfId="20" applyNumberFormat="1" applyFont="1" applyFill="1" applyBorder="1" applyAlignment="1">
      <alignment horizontal="center" vertical="center"/>
    </xf>
    <xf numFmtId="177" fontId="19" fillId="0" borderId="33" xfId="20" applyNumberFormat="1" applyFont="1" applyFill="1" applyBorder="1" applyAlignment="1">
      <alignment horizontal="right" vertical="center"/>
    </xf>
    <xf numFmtId="41" fontId="19" fillId="0" borderId="0" xfId="2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79" fontId="19" fillId="0" borderId="12" xfId="20" applyNumberFormat="1" applyFont="1" applyFill="1" applyBorder="1" applyAlignment="1">
      <alignment horizontal="right" vertical="center" shrinkToFit="1"/>
    </xf>
    <xf numFmtId="179" fontId="19" fillId="0" borderId="12" xfId="20" applyNumberFormat="1" applyFont="1" applyFill="1" applyBorder="1" applyAlignment="1">
      <alignment horizontal="right" vertical="center"/>
    </xf>
    <xf numFmtId="177" fontId="19" fillId="0" borderId="0" xfId="20" applyNumberFormat="1" applyFont="1" applyFill="1" applyBorder="1" applyAlignment="1">
      <alignment horizontal="left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19" fillId="0" borderId="0" xfId="20" applyNumberFormat="1" applyFont="1" applyFill="1" applyBorder="1" applyAlignment="1">
      <alignment horizontal="center" vertical="center"/>
    </xf>
    <xf numFmtId="177" fontId="19" fillId="0" borderId="0" xfId="2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9" fillId="0" borderId="0" xfId="20" applyNumberFormat="1" applyFont="1" applyFill="1" applyBorder="1" applyAlignment="1">
      <alignment horizontal="right" vertical="center"/>
    </xf>
    <xf numFmtId="177" fontId="19" fillId="0" borderId="26" xfId="20" applyNumberFormat="1" applyFont="1" applyFill="1" applyBorder="1" applyAlignment="1">
      <alignment horizontal="right" vertical="center"/>
    </xf>
    <xf numFmtId="177" fontId="19" fillId="0" borderId="19" xfId="20" applyNumberFormat="1" applyFont="1" applyFill="1" applyBorder="1" applyAlignment="1">
      <alignment horizontal="left" vertical="center"/>
    </xf>
    <xf numFmtId="177" fontId="19" fillId="0" borderId="20" xfId="20" applyNumberFormat="1" applyFont="1" applyFill="1" applyBorder="1" applyAlignment="1">
      <alignment horizontal="right" vertical="center"/>
    </xf>
    <xf numFmtId="0" fontId="19" fillId="0" borderId="20" xfId="20" applyNumberFormat="1" applyFont="1" applyFill="1" applyBorder="1" applyAlignment="1">
      <alignment horizontal="right" vertical="center"/>
    </xf>
    <xf numFmtId="177" fontId="19" fillId="0" borderId="20" xfId="20" applyNumberFormat="1" applyFont="1" applyFill="1" applyBorder="1" applyAlignment="1">
      <alignment horizontal="center" vertical="center"/>
    </xf>
    <xf numFmtId="177" fontId="19" fillId="0" borderId="21" xfId="20" applyNumberFormat="1" applyFont="1" applyFill="1" applyBorder="1" applyAlignment="1">
      <alignment horizontal="right" vertical="center"/>
    </xf>
    <xf numFmtId="179" fontId="19" fillId="0" borderId="34" xfId="20" applyNumberFormat="1" applyFont="1" applyFill="1" applyBorder="1" applyAlignment="1">
      <alignment horizontal="right" vertical="center" shrinkToFit="1"/>
    </xf>
    <xf numFmtId="177" fontId="19" fillId="0" borderId="20" xfId="0" applyNumberFormat="1" applyFont="1" applyFill="1" applyBorder="1" applyAlignment="1">
      <alignment horizontal="center" vertical="center"/>
    </xf>
    <xf numFmtId="0" fontId="19" fillId="0" borderId="19" xfId="20" applyNumberFormat="1" applyFont="1" applyFill="1" applyBorder="1" applyAlignment="1">
      <alignment horizontal="left" vertical="center" wrapText="1"/>
    </xf>
    <xf numFmtId="179" fontId="19" fillId="0" borderId="12" xfId="20" applyNumberFormat="1" applyFont="1" applyFill="1" applyBorder="1" applyAlignment="1">
      <alignment vertical="center" shrinkToFit="1"/>
    </xf>
    <xf numFmtId="179" fontId="19" fillId="0" borderId="12" xfId="0" applyNumberFormat="1" applyFont="1" applyFill="1" applyBorder="1" applyAlignment="1">
      <alignment horizontal="right" vertical="center"/>
    </xf>
    <xf numFmtId="177" fontId="19" fillId="0" borderId="20" xfId="20" applyNumberFormat="1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179" fontId="19" fillId="0" borderId="30" xfId="20" applyNumberFormat="1" applyFont="1" applyFill="1" applyBorder="1" applyAlignment="1">
      <alignment horizontal="right" vertical="center" shrinkToFit="1"/>
    </xf>
    <xf numFmtId="179" fontId="19" fillId="0" borderId="30" xfId="20" applyNumberFormat="1" applyFont="1" applyFill="1" applyBorder="1" applyAlignment="1">
      <alignment horizontal="right" vertical="center"/>
    </xf>
    <xf numFmtId="0" fontId="19" fillId="0" borderId="35" xfId="20" applyNumberFormat="1" applyFont="1" applyFill="1" applyBorder="1" applyAlignment="1">
      <alignment horizontal="left" vertical="center" wrapText="1"/>
    </xf>
    <xf numFmtId="0" fontId="19" fillId="0" borderId="19" xfId="20" applyNumberFormat="1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179" fontId="19" fillId="0" borderId="29" xfId="20" applyNumberFormat="1" applyFont="1" applyFill="1" applyBorder="1" applyAlignment="1">
      <alignment horizontal="right" vertical="center" shrinkToFit="1"/>
    </xf>
    <xf numFmtId="179" fontId="19" fillId="0" borderId="29" xfId="20" applyNumberFormat="1" applyFont="1" applyFill="1" applyBorder="1" applyAlignment="1">
      <alignment horizontal="right" vertical="center"/>
    </xf>
    <xf numFmtId="0" fontId="19" fillId="0" borderId="36" xfId="20" applyNumberFormat="1" applyFont="1" applyFill="1" applyBorder="1" applyAlignment="1">
      <alignment horizontal="left" vertical="center" wrapText="1"/>
    </xf>
    <xf numFmtId="177" fontId="19" fillId="0" borderId="27" xfId="20" applyNumberFormat="1" applyFont="1" applyFill="1" applyBorder="1" applyAlignment="1">
      <alignment horizontal="right" vertical="center"/>
    </xf>
    <xf numFmtId="177" fontId="19" fillId="0" borderId="27" xfId="0" applyNumberFormat="1" applyFont="1" applyFill="1" applyBorder="1" applyAlignment="1">
      <alignment horizontal="center" vertical="center"/>
    </xf>
    <xf numFmtId="0" fontId="19" fillId="0" borderId="27" xfId="20" applyNumberFormat="1" applyFont="1" applyFill="1" applyBorder="1" applyAlignment="1">
      <alignment horizontal="right" vertical="center"/>
    </xf>
    <xf numFmtId="177" fontId="19" fillId="0" borderId="27" xfId="2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9" fontId="19" fillId="0" borderId="1" xfId="20" applyNumberFormat="1" applyFont="1" applyFill="1" applyBorder="1" applyAlignment="1">
      <alignment horizontal="right" vertical="center" shrinkToFit="1"/>
    </xf>
    <xf numFmtId="179" fontId="19" fillId="0" borderId="1" xfId="20" applyNumberFormat="1" applyFont="1" applyFill="1" applyBorder="1" applyAlignment="1">
      <alignment horizontal="right" vertical="center"/>
    </xf>
    <xf numFmtId="9" fontId="19" fillId="0" borderId="1" xfId="20" applyNumberFormat="1" applyFont="1" applyFill="1" applyBorder="1" applyAlignment="1">
      <alignment horizontal="right" vertical="center"/>
    </xf>
    <xf numFmtId="0" fontId="19" fillId="0" borderId="14" xfId="20" applyNumberFormat="1" applyFont="1" applyFill="1" applyBorder="1" applyAlignment="1">
      <alignment horizontal="left" vertical="center" wrapText="1"/>
    </xf>
    <xf numFmtId="177" fontId="19" fillId="0" borderId="22" xfId="20" applyNumberFormat="1" applyFont="1" applyFill="1" applyBorder="1" applyAlignment="1">
      <alignment horizontal="right" vertical="center"/>
    </xf>
    <xf numFmtId="177" fontId="19" fillId="0" borderId="22" xfId="0" applyNumberFormat="1" applyFont="1" applyFill="1" applyBorder="1" applyAlignment="1">
      <alignment horizontal="center" vertical="center"/>
    </xf>
    <xf numFmtId="0" fontId="19" fillId="0" borderId="22" xfId="20" applyNumberFormat="1" applyFont="1" applyFill="1" applyBorder="1" applyAlignment="1">
      <alignment horizontal="right" vertical="center"/>
    </xf>
    <xf numFmtId="177" fontId="19" fillId="0" borderId="22" xfId="20" applyNumberFormat="1" applyFont="1" applyFill="1" applyBorder="1" applyAlignment="1">
      <alignment horizontal="center" vertical="center"/>
    </xf>
    <xf numFmtId="177" fontId="19" fillId="0" borderId="23" xfId="20" applyNumberFormat="1" applyFont="1" applyFill="1" applyBorder="1" applyAlignment="1">
      <alignment horizontal="right" vertical="center"/>
    </xf>
    <xf numFmtId="179" fontId="19" fillId="0" borderId="10" xfId="20" applyNumberFormat="1" applyFont="1" applyFill="1" applyBorder="1" applyAlignment="1">
      <alignment horizontal="right" vertical="center" shrinkToFit="1"/>
    </xf>
    <xf numFmtId="179" fontId="19" fillId="0" borderId="10" xfId="20" applyNumberFormat="1" applyFont="1" applyFill="1" applyBorder="1" applyAlignment="1">
      <alignment horizontal="right" vertical="center"/>
    </xf>
    <xf numFmtId="9" fontId="19" fillId="0" borderId="10" xfId="20" applyNumberFormat="1" applyFont="1" applyFill="1" applyBorder="1" applyAlignment="1">
      <alignment horizontal="right" vertical="center"/>
    </xf>
    <xf numFmtId="0" fontId="19" fillId="0" borderId="31" xfId="20" applyNumberFormat="1" applyFont="1" applyFill="1" applyBorder="1" applyAlignment="1">
      <alignment horizontal="left" vertical="center" wrapText="1"/>
    </xf>
    <xf numFmtId="177" fontId="19" fillId="0" borderId="32" xfId="0" applyNumberFormat="1" applyFont="1" applyFill="1" applyBorder="1" applyAlignment="1">
      <alignment horizontal="center" vertical="center"/>
    </xf>
    <xf numFmtId="177" fontId="19" fillId="0" borderId="14" xfId="2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41" fontId="5" fillId="0" borderId="0" xfId="20" applyFont="1" applyFill="1" applyAlignment="1">
      <alignment vertical="center"/>
    </xf>
    <xf numFmtId="178" fontId="5" fillId="0" borderId="0" xfId="20" applyNumberFormat="1" applyFont="1" applyFill="1" applyAlignment="1">
      <alignment vertical="center"/>
    </xf>
    <xf numFmtId="177" fontId="5" fillId="0" borderId="0" xfId="20" applyNumberFormat="1" applyFont="1" applyFill="1" applyAlignment="1">
      <alignment horizontal="right" vertical="center"/>
    </xf>
    <xf numFmtId="177" fontId="6" fillId="0" borderId="0" xfId="20" applyNumberFormat="1" applyFont="1" applyFill="1" applyAlignment="1">
      <alignment horizontal="right" vertical="center"/>
    </xf>
    <xf numFmtId="177" fontId="6" fillId="0" borderId="0" xfId="20" applyNumberFormat="1" applyFont="1" applyFill="1" applyAlignment="1">
      <alignment horizontal="center" vertical="center"/>
    </xf>
    <xf numFmtId="41" fontId="7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center" vertical="center"/>
    </xf>
    <xf numFmtId="177" fontId="19" fillId="0" borderId="19" xfId="20" applyNumberFormat="1" applyFont="1" applyFill="1" applyBorder="1" applyAlignment="1">
      <alignment horizontal="left" vertical="center"/>
    </xf>
    <xf numFmtId="177" fontId="19" fillId="0" borderId="19" xfId="20" applyNumberFormat="1" applyFont="1" applyFill="1" applyBorder="1" applyAlignment="1">
      <alignment horizontal="left" vertical="center"/>
    </xf>
    <xf numFmtId="9" fontId="19" fillId="3" borderId="29" xfId="2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177" fontId="19" fillId="0" borderId="2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9" fontId="19" fillId="0" borderId="14" xfId="20" applyNumberFormat="1" applyFont="1" applyBorder="1" applyAlignment="1">
      <alignment horizontal="right" vertical="center"/>
    </xf>
    <xf numFmtId="0" fontId="15" fillId="2" borderId="3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79" fontId="19" fillId="0" borderId="12" xfId="2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9" fontId="19" fillId="0" borderId="29" xfId="20" applyNumberFormat="1" applyFont="1" applyBorder="1" applyAlignment="1">
      <alignment vertical="center"/>
    </xf>
    <xf numFmtId="179" fontId="19" fillId="0" borderId="15" xfId="2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41" fontId="19" fillId="0" borderId="42" xfId="20" applyFont="1" applyBorder="1" applyAlignment="1">
      <alignment horizontal="right" vertical="center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179" fontId="19" fillId="2" borderId="10" xfId="20" applyNumberFormat="1" applyFont="1" applyFill="1" applyBorder="1" applyAlignment="1">
      <alignment horizontal="center" vertical="center" wrapText="1"/>
    </xf>
    <xf numFmtId="179" fontId="19" fillId="2" borderId="1" xfId="2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177" fontId="19" fillId="0" borderId="20" xfId="0" applyNumberFormat="1" applyFont="1" applyBorder="1" applyAlignment="1">
      <alignment horizontal="center" vertical="center"/>
    </xf>
    <xf numFmtId="179" fontId="19" fillId="0" borderId="29" xfId="20" applyNumberFormat="1" applyFont="1" applyBorder="1" applyAlignment="1">
      <alignment horizontal="right" vertical="center"/>
    </xf>
    <xf numFmtId="179" fontId="19" fillId="0" borderId="15" xfId="2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77" fontId="19" fillId="0" borderId="19" xfId="20" applyNumberFormat="1" applyFont="1" applyFill="1" applyBorder="1" applyAlignment="1">
      <alignment horizontal="left" vertical="center"/>
    </xf>
    <xf numFmtId="177" fontId="19" fillId="0" borderId="20" xfId="20" applyNumberFormat="1" applyFont="1" applyFill="1" applyBorder="1" applyAlignment="1">
      <alignment horizontal="left" vertical="center"/>
    </xf>
    <xf numFmtId="179" fontId="19" fillId="0" borderId="29" xfId="20" applyNumberFormat="1" applyFont="1" applyBorder="1" applyAlignment="1">
      <alignment horizontal="right" vertical="center" shrinkToFit="1"/>
    </xf>
    <xf numFmtId="179" fontId="19" fillId="0" borderId="30" xfId="20" applyNumberFormat="1" applyFont="1" applyBorder="1" applyAlignment="1">
      <alignment horizontal="right" vertical="center" shrinkToFit="1"/>
    </xf>
    <xf numFmtId="179" fontId="19" fillId="0" borderId="15" xfId="20" applyNumberFormat="1" applyFont="1" applyBorder="1" applyAlignment="1">
      <alignment horizontal="right" vertical="center" shrinkToFit="1"/>
    </xf>
    <xf numFmtId="0" fontId="19" fillId="0" borderId="30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41" fontId="19" fillId="2" borderId="10" xfId="20" applyFont="1" applyFill="1" applyBorder="1" applyAlignment="1">
      <alignment horizontal="center" vertical="center" wrapText="1"/>
    </xf>
    <xf numFmtId="41" fontId="19" fillId="2" borderId="1" xfId="20" applyFont="1" applyFill="1" applyBorder="1" applyAlignment="1">
      <alignment horizontal="center" vertical="center" wrapText="1"/>
    </xf>
    <xf numFmtId="178" fontId="19" fillId="2" borderId="10" xfId="20" applyNumberFormat="1" applyFont="1" applyFill="1" applyBorder="1" applyAlignment="1">
      <alignment horizontal="center" vertical="center" wrapText="1"/>
    </xf>
    <xf numFmtId="178" fontId="19" fillId="2" borderId="1" xfId="20" applyNumberFormat="1" applyFont="1" applyFill="1" applyBorder="1" applyAlignment="1">
      <alignment horizontal="center" vertical="center" wrapText="1"/>
    </xf>
    <xf numFmtId="179" fontId="19" fillId="0" borderId="29" xfId="20" applyNumberFormat="1" applyFont="1" applyBorder="1" applyAlignment="1">
      <alignment horizontal="center" vertical="center"/>
    </xf>
    <xf numFmtId="179" fontId="19" fillId="0" borderId="30" xfId="20" applyNumberFormat="1" applyFont="1" applyBorder="1" applyAlignment="1">
      <alignment horizontal="center" vertical="center"/>
    </xf>
    <xf numFmtId="179" fontId="19" fillId="0" borderId="15" xfId="2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41" fontId="19" fillId="2" borderId="10" xfId="20" applyFont="1" applyFill="1" applyBorder="1" applyAlignment="1">
      <alignment horizontal="center" vertical="center"/>
    </xf>
    <xf numFmtId="41" fontId="19" fillId="2" borderId="11" xfId="20" applyFont="1" applyFill="1" applyBorder="1" applyAlignment="1">
      <alignment horizontal="center" vertical="center"/>
    </xf>
    <xf numFmtId="41" fontId="19" fillId="2" borderId="1" xfId="20" applyFont="1" applyFill="1" applyBorder="1" applyAlignment="1">
      <alignment horizontal="center" vertical="center"/>
    </xf>
    <xf numFmtId="41" fontId="19" fillId="2" borderId="8" xfId="20" applyFont="1" applyFill="1" applyBorder="1" applyAlignment="1">
      <alignment horizontal="center" vertical="center"/>
    </xf>
    <xf numFmtId="9" fontId="19" fillId="0" borderId="29" xfId="20" applyNumberFormat="1" applyFont="1" applyBorder="1" applyAlignment="1">
      <alignment horizontal="right" vertical="center"/>
    </xf>
    <xf numFmtId="41" fontId="18" fillId="2" borderId="46" xfId="20" applyFont="1" applyFill="1" applyBorder="1" applyAlignment="1">
      <alignment horizontal="center" vertical="center" shrinkToFit="1"/>
    </xf>
    <xf numFmtId="41" fontId="18" fillId="2" borderId="3" xfId="20" applyFont="1" applyFill="1" applyBorder="1" applyAlignment="1">
      <alignment horizontal="center" vertical="center" shrinkToFit="1"/>
    </xf>
    <xf numFmtId="41" fontId="18" fillId="2" borderId="47" xfId="20" applyFont="1" applyFill="1" applyBorder="1" applyAlignment="1">
      <alignment horizontal="center" vertical="center" shrinkToFit="1"/>
    </xf>
    <xf numFmtId="41" fontId="18" fillId="2" borderId="4" xfId="20" applyFont="1" applyFill="1" applyBorder="1" applyAlignment="1">
      <alignment horizontal="center" vertical="center" shrinkToFit="1"/>
    </xf>
    <xf numFmtId="41" fontId="16" fillId="0" borderId="0" xfId="20" applyFont="1" applyBorder="1" applyAlignment="1">
      <alignment horizontal="center" vertical="center"/>
    </xf>
    <xf numFmtId="0" fontId="18" fillId="2" borderId="45" xfId="20" applyNumberFormat="1" applyFont="1" applyFill="1" applyBorder="1" applyAlignment="1">
      <alignment horizontal="center" vertical="center" textRotation="255" shrinkToFit="1"/>
    </xf>
    <xf numFmtId="0" fontId="18" fillId="2" borderId="2" xfId="20" applyNumberFormat="1" applyFont="1" applyFill="1" applyBorder="1" applyAlignment="1">
      <alignment horizontal="center" vertical="center" textRotation="255" shrinkToFit="1"/>
    </xf>
    <xf numFmtId="0" fontId="18" fillId="2" borderId="10" xfId="20" applyNumberFormat="1" applyFont="1" applyFill="1" applyBorder="1" applyAlignment="1">
      <alignment horizontal="center" vertical="center" wrapText="1" shrinkToFit="1"/>
    </xf>
    <xf numFmtId="0" fontId="18" fillId="2" borderId="1" xfId="20" applyNumberFormat="1" applyFont="1" applyFill="1" applyBorder="1" applyAlignment="1">
      <alignment horizontal="center" vertical="center" wrapText="1" shrinkToFit="1"/>
    </xf>
    <xf numFmtId="0" fontId="18" fillId="2" borderId="10" xfId="20" applyNumberFormat="1" applyFont="1" applyFill="1" applyBorder="1" applyAlignment="1">
      <alignment horizontal="center" vertical="center" shrinkToFit="1"/>
    </xf>
    <xf numFmtId="0" fontId="18" fillId="2" borderId="1" xfId="20" applyNumberFormat="1" applyFont="1" applyFill="1" applyBorder="1" applyAlignment="1">
      <alignment horizontal="center" vertical="center" shrinkToFit="1"/>
    </xf>
    <xf numFmtId="0" fontId="18" fillId="2" borderId="46" xfId="20" applyNumberFormat="1" applyFont="1" applyFill="1" applyBorder="1" applyAlignment="1">
      <alignment horizontal="center" vertical="center" shrinkToFit="1"/>
    </xf>
    <xf numFmtId="0" fontId="18" fillId="2" borderId="3" xfId="20" applyNumberFormat="1" applyFont="1" applyFill="1" applyBorder="1" applyAlignment="1">
      <alignment horizontal="center" vertical="center" shrinkToFit="1"/>
    </xf>
    <xf numFmtId="41" fontId="18" fillId="2" borderId="10" xfId="20" applyFont="1" applyFill="1" applyBorder="1" applyAlignment="1">
      <alignment horizontal="center" vertical="center" shrinkToFit="1"/>
    </xf>
    <xf numFmtId="41" fontId="18" fillId="2" borderId="1" xfId="20" applyFont="1" applyFill="1" applyBorder="1" applyAlignment="1">
      <alignment horizontal="center" vertical="center" shrinkToFit="1"/>
    </xf>
    <xf numFmtId="41" fontId="18" fillId="2" borderId="48" xfId="20" applyFont="1" applyFill="1" applyBorder="1" applyAlignment="1">
      <alignment horizontal="center" vertical="center" shrinkToFit="1"/>
    </xf>
    <xf numFmtId="41" fontId="18" fillId="2" borderId="24" xfId="20" applyFont="1" applyFill="1" applyBorder="1" applyAlignment="1">
      <alignment horizontal="center" vertical="center" shrinkToFit="1"/>
    </xf>
    <xf numFmtId="41" fontId="18" fillId="2" borderId="49" xfId="2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A5" sqref="A5:H5"/>
    </sheetView>
  </sheetViews>
  <sheetFormatPr defaultColWidth="8.88671875" defaultRowHeight="13.5"/>
  <cols>
    <col min="1" max="8" width="13.77734375" style="14" customWidth="1"/>
  </cols>
  <sheetData>
    <row r="1" spans="1:8" ht="24.95" customHeight="1">
      <c r="A1" s="16"/>
      <c r="B1" s="16"/>
      <c r="C1" s="16"/>
      <c r="D1" s="16"/>
      <c r="E1" s="16"/>
      <c r="F1" s="16"/>
      <c r="G1" s="16"/>
      <c r="H1" s="16"/>
    </row>
    <row r="2" spans="1:8" ht="24.95" customHeight="1">
      <c r="A2" s="16"/>
      <c r="B2" s="16"/>
      <c r="C2" s="16"/>
      <c r="D2" s="16"/>
      <c r="E2" s="16"/>
      <c r="F2" s="16"/>
      <c r="G2" s="16"/>
      <c r="H2" s="16"/>
    </row>
    <row r="3" spans="1:8" ht="24.95" customHeight="1">
      <c r="A3" s="272" t="s">
        <v>186</v>
      </c>
      <c r="B3" s="273"/>
      <c r="C3" s="274"/>
      <c r="D3" s="16"/>
      <c r="E3" s="16"/>
      <c r="F3" s="16"/>
      <c r="G3" s="16"/>
      <c r="H3" s="16"/>
    </row>
    <row r="4" spans="1:8" ht="24.95" customHeight="1">
      <c r="A4" s="16"/>
      <c r="B4" s="16"/>
      <c r="C4" s="16"/>
      <c r="D4" s="16"/>
      <c r="E4" s="16"/>
      <c r="F4" s="16"/>
      <c r="G4" s="16"/>
      <c r="H4" s="16"/>
    </row>
    <row r="5" spans="1:8" ht="24.95" customHeight="1">
      <c r="A5" s="275" t="s">
        <v>210</v>
      </c>
      <c r="B5" s="275"/>
      <c r="C5" s="275"/>
      <c r="D5" s="275"/>
      <c r="E5" s="275"/>
      <c r="F5" s="275"/>
      <c r="G5" s="275"/>
      <c r="H5" s="275"/>
    </row>
    <row r="6" spans="1:8" ht="24.95" customHeight="1">
      <c r="A6" s="16"/>
      <c r="B6" s="16"/>
      <c r="C6" s="16"/>
      <c r="D6" s="16"/>
      <c r="E6" s="16"/>
      <c r="F6" s="16"/>
      <c r="G6" s="16"/>
      <c r="H6" s="16"/>
    </row>
    <row r="7" spans="1:8" ht="24.95" customHeight="1">
      <c r="A7" s="16"/>
      <c r="B7" s="16"/>
      <c r="C7" s="16"/>
      <c r="D7" s="16"/>
      <c r="E7" s="16"/>
      <c r="F7" s="16"/>
      <c r="G7" s="16"/>
      <c r="H7" s="16"/>
    </row>
    <row r="8" spans="1:8" ht="24.95" customHeight="1">
      <c r="A8" s="16"/>
      <c r="B8" s="16"/>
      <c r="C8" s="16"/>
      <c r="D8" s="16"/>
      <c r="E8" s="16"/>
      <c r="F8" s="16"/>
      <c r="G8" s="16"/>
      <c r="H8" s="16"/>
    </row>
    <row r="9" spans="1:8" ht="24.95" customHeight="1">
      <c r="A9" s="16"/>
      <c r="B9" s="16"/>
      <c r="C9" s="270" t="s">
        <v>29</v>
      </c>
      <c r="D9" s="270"/>
      <c r="E9" s="31">
        <f>시세입!P6</f>
        <v>52772978</v>
      </c>
      <c r="F9" s="30" t="s">
        <v>52</v>
      </c>
      <c r="G9" s="16"/>
      <c r="H9" s="16"/>
    </row>
    <row r="10" spans="1:8" ht="24.95" customHeight="1">
      <c r="A10" s="16"/>
      <c r="B10" s="16"/>
      <c r="C10" s="270" t="s">
        <v>30</v>
      </c>
      <c r="D10" s="270"/>
      <c r="E10" s="31">
        <f>시세출!Q6</f>
        <v>52772978</v>
      </c>
      <c r="F10" s="30" t="s">
        <v>52</v>
      </c>
      <c r="G10" s="16"/>
      <c r="H10" s="16"/>
    </row>
    <row r="11" spans="1:8" ht="24.95" customHeight="1">
      <c r="A11" s="16"/>
      <c r="B11" s="16"/>
      <c r="C11" s="270" t="s">
        <v>51</v>
      </c>
      <c r="D11" s="270"/>
      <c r="E11" s="270"/>
      <c r="F11" s="270"/>
      <c r="G11" s="16"/>
      <c r="H11" s="16"/>
    </row>
    <row r="12" spans="1:8" ht="24.95" customHeight="1">
      <c r="A12" s="16"/>
      <c r="B12" s="16"/>
      <c r="C12" s="16"/>
      <c r="D12" s="16"/>
      <c r="E12" s="16"/>
      <c r="F12" s="16"/>
      <c r="G12" s="16"/>
      <c r="H12" s="16"/>
    </row>
    <row r="13" spans="1:8" ht="24.95" customHeight="1">
      <c r="A13" s="16"/>
      <c r="B13" s="16"/>
      <c r="C13" s="16"/>
      <c r="D13" s="16"/>
      <c r="E13" s="16"/>
      <c r="F13" s="16"/>
      <c r="G13" s="16"/>
      <c r="H13" s="16"/>
    </row>
    <row r="14" spans="1:8" ht="24.95" customHeight="1">
      <c r="A14" s="16"/>
      <c r="B14" s="16"/>
      <c r="C14" s="16"/>
      <c r="D14" s="16"/>
      <c r="E14" s="16"/>
      <c r="F14" s="16"/>
      <c r="G14" s="16"/>
      <c r="H14" s="16"/>
    </row>
    <row r="15" spans="1:8" ht="24.95" customHeight="1">
      <c r="A15" s="271" t="s">
        <v>31</v>
      </c>
      <c r="B15" s="271"/>
      <c r="C15" s="271"/>
      <c r="D15" s="271"/>
      <c r="E15" s="271"/>
      <c r="F15" s="271"/>
      <c r="G15" s="271"/>
      <c r="H15" s="271"/>
    </row>
    <row r="16" ht="24.95" customHeight="1"/>
    <row r="17" ht="24.95" customHeight="1"/>
    <row r="18" ht="24.95" customHeight="1"/>
  </sheetData>
  <mergeCells count="6">
    <mergeCell ref="C10:D10"/>
    <mergeCell ref="C11:F11"/>
    <mergeCell ref="A15:H15"/>
    <mergeCell ref="A3:C3"/>
    <mergeCell ref="A5:H5"/>
    <mergeCell ref="C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 topLeftCell="A1">
      <selection activeCell="A2" sqref="A2:N2"/>
    </sheetView>
  </sheetViews>
  <sheetFormatPr defaultColWidth="8.88671875" defaultRowHeight="13.5"/>
  <cols>
    <col min="1" max="11" width="5.77734375" style="14" customWidth="1"/>
    <col min="12" max="12" width="10.3359375" style="14" customWidth="1"/>
    <col min="13" max="13" width="15.21484375" style="0" customWidth="1"/>
    <col min="14" max="14" width="15.3359375" style="0" customWidth="1"/>
  </cols>
  <sheetData>
    <row r="1" ht="50.1" customHeight="1"/>
    <row r="2" spans="1:14" ht="50.1" customHeight="1">
      <c r="A2" s="277" t="s">
        <v>28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2" ht="50.1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33" customFormat="1" ht="50.1" customHeight="1">
      <c r="A4" s="276" t="s">
        <v>211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54">
        <f>시세입!P6</f>
        <v>52772978</v>
      </c>
      <c r="N4" s="33" t="s">
        <v>184</v>
      </c>
    </row>
    <row r="5" spans="1:12" s="33" customFormat="1" ht="50.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33" customFormat="1" ht="50.1" customHeight="1">
      <c r="A6" s="176" t="s">
        <v>187</v>
      </c>
      <c r="B6" s="32"/>
      <c r="C6" s="32"/>
      <c r="D6" s="32"/>
      <c r="E6" s="32"/>
      <c r="F6" s="32"/>
      <c r="G6" s="32"/>
      <c r="H6" s="32"/>
      <c r="I6" s="32"/>
      <c r="J6" s="34"/>
      <c r="K6" s="34"/>
      <c r="L6" s="34"/>
    </row>
    <row r="7" spans="1:12" s="33" customFormat="1" ht="50.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ht="50.1" customHeight="1"/>
    <row r="9" ht="50.1" customHeight="1"/>
    <row r="10" ht="50.1" customHeight="1"/>
    <row r="11" ht="50.1" customHeight="1"/>
  </sheetData>
  <mergeCells count="2">
    <mergeCell ref="A4:L4"/>
    <mergeCell ref="A2:N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SheetLayoutView="100" workbookViewId="0" topLeftCell="A1">
      <selection activeCell="R25" sqref="R25"/>
    </sheetView>
  </sheetViews>
  <sheetFormatPr defaultColWidth="8.88671875" defaultRowHeight="13.5"/>
  <cols>
    <col min="1" max="1" width="7.77734375" style="1" customWidth="1"/>
    <col min="2" max="2" width="8.77734375" style="1" customWidth="1"/>
    <col min="3" max="3" width="11.3359375" style="1" customWidth="1"/>
    <col min="4" max="6" width="7.77734375" style="9" customWidth="1"/>
    <col min="7" max="7" width="7.10546875" style="4" customWidth="1"/>
    <col min="8" max="8" width="7.77734375" style="1" customWidth="1"/>
    <col min="9" max="9" width="8.77734375" style="1" customWidth="1"/>
    <col min="10" max="10" width="11.3359375" style="1" customWidth="1"/>
    <col min="11" max="13" width="7.77734375" style="9" customWidth="1"/>
    <col min="14" max="14" width="6.99609375" style="4" customWidth="1"/>
    <col min="15" max="16384" width="8.88671875" style="1" customWidth="1"/>
  </cols>
  <sheetData>
    <row r="1" spans="1:14" s="53" customFormat="1" ht="18" customHeight="1">
      <c r="A1" s="295" t="s">
        <v>212</v>
      </c>
      <c r="B1" s="296"/>
      <c r="C1" s="296"/>
      <c r="D1" s="296"/>
      <c r="E1" s="296"/>
      <c r="F1" s="296"/>
      <c r="G1" s="296"/>
      <c r="H1" s="296"/>
      <c r="I1" s="296"/>
      <c r="J1" s="159"/>
      <c r="K1" s="54"/>
      <c r="L1" s="54"/>
      <c r="M1" s="54"/>
      <c r="N1" s="55"/>
    </row>
    <row r="2" spans="1:14" s="53" customFormat="1" ht="9.95" customHeight="1">
      <c r="A2" s="56"/>
      <c r="B2" s="57"/>
      <c r="C2" s="57"/>
      <c r="D2" s="57"/>
      <c r="E2" s="57"/>
      <c r="F2" s="57"/>
      <c r="G2" s="57"/>
      <c r="H2" s="57"/>
      <c r="I2" s="57"/>
      <c r="J2" s="159"/>
      <c r="K2" s="54"/>
      <c r="L2" s="54"/>
      <c r="M2" s="54"/>
      <c r="N2" s="55"/>
    </row>
    <row r="3" spans="1:14" s="53" customFormat="1" ht="18.95" customHeight="1">
      <c r="A3" s="58" t="s">
        <v>134</v>
      </c>
      <c r="B3" s="159"/>
      <c r="C3" s="159"/>
      <c r="D3" s="54"/>
      <c r="E3" s="54"/>
      <c r="F3" s="54"/>
      <c r="G3" s="55"/>
      <c r="H3" s="14"/>
      <c r="I3" s="14"/>
      <c r="J3" s="159"/>
      <c r="K3" s="54"/>
      <c r="L3" s="54"/>
      <c r="M3" s="301" t="s">
        <v>135</v>
      </c>
      <c r="N3" s="301"/>
    </row>
    <row r="4" spans="1:14" s="59" customFormat="1" ht="18.95" customHeight="1">
      <c r="A4" s="291" t="s">
        <v>136</v>
      </c>
      <c r="B4" s="292"/>
      <c r="C4" s="292"/>
      <c r="D4" s="298" t="s">
        <v>194</v>
      </c>
      <c r="E4" s="298" t="s">
        <v>195</v>
      </c>
      <c r="F4" s="292" t="s">
        <v>137</v>
      </c>
      <c r="G4" s="300"/>
      <c r="H4" s="297" t="s">
        <v>138</v>
      </c>
      <c r="I4" s="292"/>
      <c r="J4" s="292"/>
      <c r="K4" s="298" t="s">
        <v>194</v>
      </c>
      <c r="L4" s="298" t="s">
        <v>195</v>
      </c>
      <c r="M4" s="292" t="s">
        <v>137</v>
      </c>
      <c r="N4" s="300"/>
    </row>
    <row r="5" spans="1:14" s="59" customFormat="1" ht="18.95" customHeight="1">
      <c r="A5" s="37" t="s">
        <v>139</v>
      </c>
      <c r="B5" s="38" t="s">
        <v>140</v>
      </c>
      <c r="C5" s="38" t="s">
        <v>141</v>
      </c>
      <c r="D5" s="299"/>
      <c r="E5" s="299"/>
      <c r="F5" s="39" t="s">
        <v>142</v>
      </c>
      <c r="G5" s="40" t="s">
        <v>143</v>
      </c>
      <c r="H5" s="41" t="s">
        <v>139</v>
      </c>
      <c r="I5" s="38" t="s">
        <v>140</v>
      </c>
      <c r="J5" s="38" t="s">
        <v>141</v>
      </c>
      <c r="K5" s="299"/>
      <c r="L5" s="299"/>
      <c r="M5" s="39" t="s">
        <v>142</v>
      </c>
      <c r="N5" s="40" t="s">
        <v>143</v>
      </c>
    </row>
    <row r="6" spans="1:14" s="60" customFormat="1" ht="18.95" customHeight="1">
      <c r="A6" s="293" t="s">
        <v>144</v>
      </c>
      <c r="B6" s="294"/>
      <c r="C6" s="294"/>
      <c r="D6" s="42">
        <f>D7+D10+D15+D18+D22</f>
        <v>46847896</v>
      </c>
      <c r="E6" s="42">
        <f>E7+E10+E15+E18+E22</f>
        <v>52772978</v>
      </c>
      <c r="F6" s="43">
        <f aca="true" t="shared" si="0" ref="F6:F22">E6-D6</f>
        <v>5925082</v>
      </c>
      <c r="G6" s="44">
        <f aca="true" t="shared" si="1" ref="G6">F6/D6</f>
        <v>0.12647487946950703</v>
      </c>
      <c r="H6" s="302" t="s">
        <v>144</v>
      </c>
      <c r="I6" s="294"/>
      <c r="J6" s="294"/>
      <c r="K6" s="42">
        <f>K7+K11+K22+K15+K18+K20+K24</f>
        <v>46847816</v>
      </c>
      <c r="L6" s="42">
        <f>L7+L11+L15+L18+L20+L24+L22</f>
        <v>52772978</v>
      </c>
      <c r="M6" s="43">
        <f>L6-K6</f>
        <v>5925162</v>
      </c>
      <c r="N6" s="44">
        <f aca="true" t="shared" si="2" ref="N6:N10">M6/K6</f>
        <v>0.12647680310219797</v>
      </c>
    </row>
    <row r="7" spans="1:14" s="60" customFormat="1" ht="18.95" customHeight="1">
      <c r="A7" s="280" t="s">
        <v>145</v>
      </c>
      <c r="B7" s="279" t="s">
        <v>146</v>
      </c>
      <c r="C7" s="279"/>
      <c r="D7" s="45">
        <f>D8</f>
        <v>6300000</v>
      </c>
      <c r="E7" s="45">
        <f>E8</f>
        <v>8640000</v>
      </c>
      <c r="F7" s="46">
        <f t="shared" si="0"/>
        <v>2340000</v>
      </c>
      <c r="G7" s="47">
        <f>F7/D7</f>
        <v>0.37142857142857144</v>
      </c>
      <c r="H7" s="290" t="s">
        <v>147</v>
      </c>
      <c r="I7" s="279" t="s">
        <v>146</v>
      </c>
      <c r="J7" s="279"/>
      <c r="K7" s="45">
        <f>SUM(K8:K10)</f>
        <v>37763590</v>
      </c>
      <c r="L7" s="45">
        <f>L8+L9+L10</f>
        <v>41304060</v>
      </c>
      <c r="M7" s="46">
        <f aca="true" t="shared" si="3" ref="M7:M17">L7-K7</f>
        <v>3540470</v>
      </c>
      <c r="N7" s="47">
        <f t="shared" si="2"/>
        <v>0.0937535334961533</v>
      </c>
    </row>
    <row r="8" spans="1:14" s="60" customFormat="1" ht="18.95" customHeight="1">
      <c r="A8" s="280"/>
      <c r="B8" s="281" t="s">
        <v>145</v>
      </c>
      <c r="C8" s="156" t="s">
        <v>148</v>
      </c>
      <c r="D8" s="45">
        <f>D9</f>
        <v>6300000</v>
      </c>
      <c r="E8" s="45">
        <f>E9</f>
        <v>8640000</v>
      </c>
      <c r="F8" s="46">
        <f t="shared" si="0"/>
        <v>2340000</v>
      </c>
      <c r="G8" s="47">
        <f>F8/D8</f>
        <v>0.37142857142857144</v>
      </c>
      <c r="H8" s="290"/>
      <c r="I8" s="279" t="s">
        <v>147</v>
      </c>
      <c r="J8" s="156" t="s">
        <v>149</v>
      </c>
      <c r="K8" s="45">
        <f>시세출!D8</f>
        <v>33156020</v>
      </c>
      <c r="L8" s="45">
        <f>시세출!E8</f>
        <v>36885060</v>
      </c>
      <c r="M8" s="46">
        <f t="shared" si="3"/>
        <v>3729040</v>
      </c>
      <c r="N8" s="47">
        <f t="shared" si="2"/>
        <v>0.11246947009924593</v>
      </c>
    </row>
    <row r="9" spans="1:14" s="60" customFormat="1" ht="18.95" customHeight="1">
      <c r="A9" s="280"/>
      <c r="B9" s="279"/>
      <c r="C9" s="156" t="s">
        <v>150</v>
      </c>
      <c r="D9" s="45">
        <f>시세입!D9</f>
        <v>6300000</v>
      </c>
      <c r="E9" s="45">
        <f>시세입!E9</f>
        <v>8640000</v>
      </c>
      <c r="F9" s="46">
        <f t="shared" si="0"/>
        <v>2340000</v>
      </c>
      <c r="G9" s="47">
        <f>F9/D9</f>
        <v>0.37142857142857144</v>
      </c>
      <c r="H9" s="290"/>
      <c r="I9" s="279"/>
      <c r="J9" s="156" t="s">
        <v>151</v>
      </c>
      <c r="K9" s="45">
        <f>시세출!D29</f>
        <v>200000</v>
      </c>
      <c r="L9" s="45">
        <f>시세출!E29</f>
        <v>150000</v>
      </c>
      <c r="M9" s="46">
        <f>L9-K9</f>
        <v>-50000</v>
      </c>
      <c r="N9" s="47"/>
    </row>
    <row r="10" spans="1:14" s="60" customFormat="1" ht="18.95" customHeight="1">
      <c r="A10" s="303" t="s">
        <v>152</v>
      </c>
      <c r="B10" s="279" t="s">
        <v>146</v>
      </c>
      <c r="C10" s="279"/>
      <c r="D10" s="45">
        <f>D11</f>
        <v>39776000</v>
      </c>
      <c r="E10" s="45">
        <f>E11</f>
        <v>43769060</v>
      </c>
      <c r="F10" s="46">
        <f t="shared" si="0"/>
        <v>3993060</v>
      </c>
      <c r="G10" s="47">
        <f>F10/D10</f>
        <v>0.10038867658889783</v>
      </c>
      <c r="H10" s="290"/>
      <c r="I10" s="279"/>
      <c r="J10" s="156" t="s">
        <v>153</v>
      </c>
      <c r="K10" s="45">
        <f>시세출!D32</f>
        <v>4407570</v>
      </c>
      <c r="L10" s="45">
        <f>시세출!E32</f>
        <v>4269000</v>
      </c>
      <c r="M10" s="46">
        <f t="shared" si="3"/>
        <v>-138570</v>
      </c>
      <c r="N10" s="47">
        <f t="shared" si="2"/>
        <v>-0.03143909228894833</v>
      </c>
    </row>
    <row r="11" spans="1:14" s="60" customFormat="1" ht="18.95" customHeight="1">
      <c r="A11" s="304"/>
      <c r="B11" s="284" t="s">
        <v>154</v>
      </c>
      <c r="C11" s="156" t="s">
        <v>148</v>
      </c>
      <c r="D11" s="45">
        <f>D12+D14</f>
        <v>39776000</v>
      </c>
      <c r="E11" s="45">
        <f>E12+E13+E14</f>
        <v>43769060</v>
      </c>
      <c r="F11" s="46">
        <f t="shared" si="0"/>
        <v>3993060</v>
      </c>
      <c r="G11" s="47">
        <f>F11/D11</f>
        <v>0.10038867658889783</v>
      </c>
      <c r="H11" s="303" t="s">
        <v>155</v>
      </c>
      <c r="I11" s="279" t="s">
        <v>146</v>
      </c>
      <c r="J11" s="279"/>
      <c r="K11" s="45">
        <f>K12+K13+K14</f>
        <v>0</v>
      </c>
      <c r="L11" s="45">
        <f>시세출!Q38</f>
        <v>200000</v>
      </c>
      <c r="M11" s="46">
        <f>L11-K11</f>
        <v>200000</v>
      </c>
      <c r="N11" s="47"/>
    </row>
    <row r="12" spans="1:14" s="60" customFormat="1" ht="18.95" customHeight="1">
      <c r="A12" s="304"/>
      <c r="B12" s="285"/>
      <c r="C12" s="156" t="s">
        <v>204</v>
      </c>
      <c r="D12" s="287">
        <f>시세입!D12</f>
        <v>36296000</v>
      </c>
      <c r="E12" s="45">
        <f>시세입!E12</f>
        <v>6984000</v>
      </c>
      <c r="F12" s="46"/>
      <c r="G12" s="47"/>
      <c r="H12" s="304"/>
      <c r="I12" s="284" t="s">
        <v>156</v>
      </c>
      <c r="J12" s="156" t="s">
        <v>156</v>
      </c>
      <c r="K12" s="45">
        <v>0</v>
      </c>
      <c r="L12" s="45"/>
      <c r="M12" s="46">
        <f>L12-K12</f>
        <v>0</v>
      </c>
      <c r="N12" s="47"/>
    </row>
    <row r="13" spans="1:14" s="60" customFormat="1" ht="18.95" customHeight="1">
      <c r="A13" s="304"/>
      <c r="B13" s="285"/>
      <c r="C13" s="264" t="s">
        <v>205</v>
      </c>
      <c r="D13" s="288"/>
      <c r="E13" s="45">
        <f>시세입!P13</f>
        <v>33305060</v>
      </c>
      <c r="F13" s="46"/>
      <c r="G13" s="47"/>
      <c r="H13" s="304"/>
      <c r="I13" s="285"/>
      <c r="J13" s="156" t="s">
        <v>158</v>
      </c>
      <c r="K13" s="45">
        <f>시세출!D40</f>
        <v>0</v>
      </c>
      <c r="L13" s="45">
        <f>시세출!E40</f>
        <v>200000</v>
      </c>
      <c r="M13" s="46">
        <f>L13-K13</f>
        <v>200000</v>
      </c>
      <c r="N13" s="47"/>
    </row>
    <row r="14" spans="1:14" s="60" customFormat="1" ht="18.95" customHeight="1">
      <c r="A14" s="305"/>
      <c r="B14" s="286"/>
      <c r="C14" s="156" t="s">
        <v>18</v>
      </c>
      <c r="D14" s="45">
        <f>시세입!D14</f>
        <v>3480000</v>
      </c>
      <c r="E14" s="45">
        <f>시세입!E14</f>
        <v>3480000</v>
      </c>
      <c r="F14" s="46">
        <f t="shared" si="0"/>
        <v>0</v>
      </c>
      <c r="G14" s="47"/>
      <c r="H14" s="305"/>
      <c r="I14" s="286"/>
      <c r="J14" s="156" t="s">
        <v>160</v>
      </c>
      <c r="K14" s="45">
        <f>시세출!D41</f>
        <v>0</v>
      </c>
      <c r="L14" s="45">
        <f>시세출!E41</f>
        <v>0</v>
      </c>
      <c r="M14" s="46">
        <f>L14-K14</f>
        <v>0</v>
      </c>
      <c r="N14" s="47">
        <v>-1</v>
      </c>
    </row>
    <row r="15" spans="1:14" s="60" customFormat="1" ht="18.95" customHeight="1">
      <c r="A15" s="303" t="s">
        <v>157</v>
      </c>
      <c r="B15" s="264" t="s">
        <v>146</v>
      </c>
      <c r="C15" s="264"/>
      <c r="D15" s="45">
        <f>D16</f>
        <v>354000</v>
      </c>
      <c r="E15" s="45">
        <f>E16</f>
        <v>30000</v>
      </c>
      <c r="F15" s="46">
        <f t="shared" si="0"/>
        <v>-324000</v>
      </c>
      <c r="G15" s="47"/>
      <c r="H15" s="306" t="s">
        <v>161</v>
      </c>
      <c r="I15" s="289" t="s">
        <v>146</v>
      </c>
      <c r="J15" s="290"/>
      <c r="K15" s="45">
        <f>SUM(K16:K17)</f>
        <v>8750000</v>
      </c>
      <c r="L15" s="45">
        <f>SUM(L16:L17)</f>
        <v>10940000</v>
      </c>
      <c r="M15" s="46">
        <f t="shared" si="3"/>
        <v>2190000</v>
      </c>
      <c r="N15" s="47">
        <f aca="true" t="shared" si="4" ref="N15:N17">M15/K15</f>
        <v>0.2502857142857143</v>
      </c>
    </row>
    <row r="16" spans="1:14" s="60" customFormat="1" ht="18.95" customHeight="1">
      <c r="A16" s="304"/>
      <c r="B16" s="284" t="s">
        <v>159</v>
      </c>
      <c r="C16" s="156" t="s">
        <v>148</v>
      </c>
      <c r="D16" s="45">
        <f>D17</f>
        <v>354000</v>
      </c>
      <c r="E16" s="45">
        <f>E17</f>
        <v>30000</v>
      </c>
      <c r="F16" s="46">
        <f t="shared" si="0"/>
        <v>-324000</v>
      </c>
      <c r="G16" s="47"/>
      <c r="H16" s="311"/>
      <c r="I16" s="284" t="s">
        <v>161</v>
      </c>
      <c r="J16" s="156" t="s">
        <v>162</v>
      </c>
      <c r="K16" s="45">
        <f>시세출!D43</f>
        <v>6400000</v>
      </c>
      <c r="L16" s="45">
        <f>시세출!E43</f>
        <v>8740000</v>
      </c>
      <c r="M16" s="46">
        <f t="shared" si="3"/>
        <v>2340000</v>
      </c>
      <c r="N16" s="47">
        <f t="shared" si="4"/>
        <v>0.365625</v>
      </c>
    </row>
    <row r="17" spans="1:14" s="60" customFormat="1" ht="18.75" customHeight="1">
      <c r="A17" s="305"/>
      <c r="B17" s="286"/>
      <c r="C17" s="264" t="s">
        <v>159</v>
      </c>
      <c r="D17" s="45">
        <f>시세입!D19</f>
        <v>354000</v>
      </c>
      <c r="E17" s="45">
        <f>시세입!P19</f>
        <v>30000</v>
      </c>
      <c r="F17" s="46">
        <f t="shared" si="0"/>
        <v>-324000</v>
      </c>
      <c r="G17" s="47"/>
      <c r="H17" s="307"/>
      <c r="I17" s="286"/>
      <c r="J17" s="156" t="s">
        <v>161</v>
      </c>
      <c r="K17" s="45">
        <f>시세출!D46</f>
        <v>2350000</v>
      </c>
      <c r="L17" s="45">
        <f>시세출!E46</f>
        <v>2200000</v>
      </c>
      <c r="M17" s="46">
        <f t="shared" si="3"/>
        <v>-150000</v>
      </c>
      <c r="N17" s="47">
        <f t="shared" si="4"/>
        <v>-0.06382978723404255</v>
      </c>
    </row>
    <row r="18" spans="1:14" s="60" customFormat="1" ht="18.75" customHeight="1">
      <c r="A18" s="308" t="s">
        <v>164</v>
      </c>
      <c r="B18" s="264" t="s">
        <v>146</v>
      </c>
      <c r="C18" s="264"/>
      <c r="D18" s="45">
        <f>D19</f>
        <v>412896</v>
      </c>
      <c r="E18" s="45">
        <f>시세입!P20</f>
        <v>328918</v>
      </c>
      <c r="F18" s="69">
        <f t="shared" si="0"/>
        <v>-83978</v>
      </c>
      <c r="G18" s="47">
        <f aca="true" t="shared" si="5" ref="G18:G21">F18/D18</f>
        <v>-0.20338777803611563</v>
      </c>
      <c r="H18" s="306" t="s">
        <v>163</v>
      </c>
      <c r="I18" s="289" t="s">
        <v>146</v>
      </c>
      <c r="J18" s="290"/>
      <c r="K18" s="45">
        <f>K19</f>
        <v>0</v>
      </c>
      <c r="L18" s="45"/>
      <c r="M18" s="46">
        <f>L18-K18</f>
        <v>0</v>
      </c>
      <c r="N18" s="47"/>
    </row>
    <row r="19" spans="1:14" s="60" customFormat="1" ht="18.75" customHeight="1">
      <c r="A19" s="308"/>
      <c r="B19" s="278" t="s">
        <v>164</v>
      </c>
      <c r="C19" s="156" t="s">
        <v>148</v>
      </c>
      <c r="D19" s="45">
        <f>SUM(D20:D21)</f>
        <v>412896</v>
      </c>
      <c r="E19" s="45">
        <f>E20+E21</f>
        <v>328918</v>
      </c>
      <c r="F19" s="45">
        <f t="shared" si="0"/>
        <v>-83978</v>
      </c>
      <c r="G19" s="47">
        <f t="shared" si="5"/>
        <v>-0.20338777803611563</v>
      </c>
      <c r="H19" s="307"/>
      <c r="I19" s="160" t="s">
        <v>163</v>
      </c>
      <c r="J19" s="156" t="s">
        <v>163</v>
      </c>
      <c r="K19" s="45">
        <f>시세출!D56</f>
        <v>0</v>
      </c>
      <c r="L19" s="45"/>
      <c r="M19" s="46">
        <f>L19-K19</f>
        <v>0</v>
      </c>
      <c r="N19" s="47"/>
    </row>
    <row r="20" spans="1:14" s="60" customFormat="1" ht="18.95" customHeight="1">
      <c r="A20" s="308"/>
      <c r="B20" s="279"/>
      <c r="C20" s="157" t="s">
        <v>166</v>
      </c>
      <c r="D20" s="45">
        <f>시세입!D22</f>
        <v>408203</v>
      </c>
      <c r="E20" s="45">
        <f>시세입!P22</f>
        <v>324839</v>
      </c>
      <c r="F20" s="46">
        <f t="shared" si="0"/>
        <v>-83364</v>
      </c>
      <c r="G20" s="47">
        <f t="shared" si="5"/>
        <v>-0.20422191899618572</v>
      </c>
      <c r="H20" s="306" t="s">
        <v>165</v>
      </c>
      <c r="I20" s="282" t="s">
        <v>146</v>
      </c>
      <c r="J20" s="283"/>
      <c r="K20" s="45">
        <f>K21</f>
        <v>4693</v>
      </c>
      <c r="L20" s="45">
        <f>L21</f>
        <v>4079</v>
      </c>
      <c r="M20" s="46">
        <f>L20-K20</f>
        <v>-614</v>
      </c>
      <c r="N20" s="47">
        <f aca="true" t="shared" si="6" ref="N20:N21">M20/K20</f>
        <v>-0.1308331557639037</v>
      </c>
    </row>
    <row r="21" spans="1:14" s="60" customFormat="1" ht="18.95" customHeight="1">
      <c r="A21" s="308"/>
      <c r="B21" s="279"/>
      <c r="C21" s="160" t="s">
        <v>214</v>
      </c>
      <c r="D21" s="45">
        <f>시세입!D23</f>
        <v>4693</v>
      </c>
      <c r="E21" s="45">
        <f>시세입!P23</f>
        <v>4079</v>
      </c>
      <c r="F21" s="46">
        <f t="shared" si="0"/>
        <v>-614</v>
      </c>
      <c r="G21" s="47">
        <f t="shared" si="5"/>
        <v>-0.1308331557639037</v>
      </c>
      <c r="H21" s="307"/>
      <c r="I21" s="156" t="s">
        <v>165</v>
      </c>
      <c r="J21" s="156" t="s">
        <v>165</v>
      </c>
      <c r="K21" s="45">
        <f>시세출!D59</f>
        <v>4693</v>
      </c>
      <c r="L21" s="45">
        <f>시세출!E59</f>
        <v>4079</v>
      </c>
      <c r="M21" s="46">
        <f>L21-K21</f>
        <v>-614</v>
      </c>
      <c r="N21" s="47">
        <f t="shared" si="6"/>
        <v>-0.1308331557639037</v>
      </c>
    </row>
    <row r="22" spans="1:14" s="60" customFormat="1" ht="18.95" customHeight="1">
      <c r="A22" s="308" t="s">
        <v>169</v>
      </c>
      <c r="B22" s="264" t="s">
        <v>146</v>
      </c>
      <c r="C22" s="264"/>
      <c r="D22" s="45">
        <f>D23</f>
        <v>5000</v>
      </c>
      <c r="E22" s="45">
        <f>시세입!P24</f>
        <v>5000</v>
      </c>
      <c r="F22" s="46">
        <f t="shared" si="0"/>
        <v>0</v>
      </c>
      <c r="G22" s="47"/>
      <c r="H22" s="306" t="s">
        <v>167</v>
      </c>
      <c r="I22" s="289" t="s">
        <v>168</v>
      </c>
      <c r="J22" s="290"/>
      <c r="K22" s="45">
        <f aca="true" t="shared" si="7" ref="K22:M22">K23</f>
        <v>0</v>
      </c>
      <c r="L22" s="45">
        <f>시세출!Q60</f>
        <v>0</v>
      </c>
      <c r="M22" s="46">
        <f t="shared" si="7"/>
        <v>0</v>
      </c>
      <c r="N22" s="47"/>
    </row>
    <row r="23" spans="1:14" s="60" customFormat="1" ht="18.95" customHeight="1">
      <c r="A23" s="308"/>
      <c r="B23" s="279" t="s">
        <v>169</v>
      </c>
      <c r="C23" s="156" t="s">
        <v>148</v>
      </c>
      <c r="D23" s="45">
        <f>SUM(D24:D25)</f>
        <v>5000</v>
      </c>
      <c r="E23" s="45">
        <f>E24+E25</f>
        <v>5000</v>
      </c>
      <c r="F23" s="45">
        <f>E23-D23</f>
        <v>0</v>
      </c>
      <c r="G23" s="47"/>
      <c r="H23" s="307"/>
      <c r="I23" s="155" t="s">
        <v>167</v>
      </c>
      <c r="J23" s="156" t="s">
        <v>167</v>
      </c>
      <c r="K23" s="45">
        <f>시세출!D62</f>
        <v>0</v>
      </c>
      <c r="L23" s="45">
        <f>시세출!Q62</f>
        <v>0</v>
      </c>
      <c r="M23" s="46">
        <f>L23-K23</f>
        <v>0</v>
      </c>
      <c r="N23" s="47"/>
    </row>
    <row r="24" spans="1:14" s="60" customFormat="1" ht="18.95" customHeight="1">
      <c r="A24" s="308"/>
      <c r="B24" s="279"/>
      <c r="C24" s="156" t="s">
        <v>171</v>
      </c>
      <c r="D24" s="45">
        <f>시세입!D26</f>
        <v>5000</v>
      </c>
      <c r="E24" s="45">
        <f>시세입!E26</f>
        <v>5000</v>
      </c>
      <c r="F24" s="46">
        <f>E24-D24</f>
        <v>0</v>
      </c>
      <c r="G24" s="47"/>
      <c r="H24" s="266" t="s">
        <v>170</v>
      </c>
      <c r="I24" s="289" t="s">
        <v>168</v>
      </c>
      <c r="J24" s="290"/>
      <c r="K24" s="69">
        <f>K25</f>
        <v>329533</v>
      </c>
      <c r="L24" s="69">
        <f>시세출!Q63</f>
        <v>324839</v>
      </c>
      <c r="M24" s="46">
        <f>L24-K24</f>
        <v>-4694</v>
      </c>
      <c r="N24" s="47"/>
    </row>
    <row r="25" spans="1:14" s="60" customFormat="1" ht="18.95" customHeight="1">
      <c r="A25" s="309"/>
      <c r="B25" s="310"/>
      <c r="C25" s="158" t="s">
        <v>172</v>
      </c>
      <c r="D25" s="49">
        <f>시세입!D27</f>
        <v>0</v>
      </c>
      <c r="E25" s="49">
        <f>시세입!P27</f>
        <v>0</v>
      </c>
      <c r="F25" s="50">
        <f>E25-D25</f>
        <v>0</v>
      </c>
      <c r="G25" s="51">
        <v>-1</v>
      </c>
      <c r="H25" s="267"/>
      <c r="I25" s="265" t="s">
        <v>170</v>
      </c>
      <c r="J25" s="265" t="s">
        <v>170</v>
      </c>
      <c r="K25" s="49">
        <f>시세출!D65</f>
        <v>329533</v>
      </c>
      <c r="L25" s="49">
        <f>시세출!Q65</f>
        <v>324839</v>
      </c>
      <c r="M25" s="50">
        <f>L25-K25</f>
        <v>-4694</v>
      </c>
      <c r="N25" s="51"/>
    </row>
    <row r="26" spans="1:14" s="60" customFormat="1" ht="18.95" customHeight="1">
      <c r="A26" s="1"/>
      <c r="B26" s="1"/>
      <c r="C26" s="1"/>
      <c r="D26" s="9"/>
      <c r="E26" s="9"/>
      <c r="F26" s="9"/>
      <c r="G26" s="4"/>
      <c r="H26" s="1"/>
      <c r="I26" s="1"/>
      <c r="J26" s="1"/>
      <c r="K26" s="9"/>
      <c r="L26" s="9"/>
      <c r="M26" s="9"/>
      <c r="N26" s="4"/>
    </row>
    <row r="27" spans="1:14" s="60" customFormat="1" ht="18.95" customHeight="1">
      <c r="A27" s="1"/>
      <c r="B27" s="1"/>
      <c r="C27" s="1"/>
      <c r="D27" s="9"/>
      <c r="E27" s="9"/>
      <c r="F27" s="9"/>
      <c r="G27" s="4"/>
      <c r="H27" s="1"/>
      <c r="I27" s="1"/>
      <c r="J27" s="1"/>
      <c r="K27" s="9"/>
      <c r="L27" s="9"/>
      <c r="M27" s="9"/>
      <c r="N27" s="4"/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41">
    <mergeCell ref="I22:J22"/>
    <mergeCell ref="I24:J24"/>
    <mergeCell ref="A10:A14"/>
    <mergeCell ref="B11:B14"/>
    <mergeCell ref="A15:A17"/>
    <mergeCell ref="H20:H21"/>
    <mergeCell ref="H22:H23"/>
    <mergeCell ref="A22:A25"/>
    <mergeCell ref="B23:B25"/>
    <mergeCell ref="B10:C10"/>
    <mergeCell ref="I16:I17"/>
    <mergeCell ref="H15:H17"/>
    <mergeCell ref="B16:B17"/>
    <mergeCell ref="H18:H19"/>
    <mergeCell ref="A18:A21"/>
    <mergeCell ref="H11:H14"/>
    <mergeCell ref="K4:K5"/>
    <mergeCell ref="M3:N3"/>
    <mergeCell ref="M4:N4"/>
    <mergeCell ref="I8:I10"/>
    <mergeCell ref="H6:J6"/>
    <mergeCell ref="L4:L5"/>
    <mergeCell ref="I7:J7"/>
    <mergeCell ref="H7:H10"/>
    <mergeCell ref="A4:C4"/>
    <mergeCell ref="A6:C6"/>
    <mergeCell ref="A1:I1"/>
    <mergeCell ref="H4:J4"/>
    <mergeCell ref="E4:E5"/>
    <mergeCell ref="F4:G4"/>
    <mergeCell ref="D4:D5"/>
    <mergeCell ref="B19:B21"/>
    <mergeCell ref="I11:J11"/>
    <mergeCell ref="A7:A9"/>
    <mergeCell ref="B8:B9"/>
    <mergeCell ref="B7:C7"/>
    <mergeCell ref="I20:J20"/>
    <mergeCell ref="I12:I14"/>
    <mergeCell ref="D12:D13"/>
    <mergeCell ref="I15:J15"/>
    <mergeCell ref="I18:J18"/>
  </mergeCells>
  <printOptions/>
  <pageMargins left="0.5905511811023623" right="0.5905511811023623" top="0.5905511811023623" bottom="0.4330708661417323" header="0.3937007874015748" footer="0.3937007874015748"/>
  <pageSetup horizontalDpi="300" verticalDpi="300" orientation="landscape" paperSize="9" r:id="rId1"/>
  <headerFooter alignWithMargins="0">
    <oddFooter>&amp;R 2014 성모공동생활가정 세입세출부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Layout" workbookViewId="0" topLeftCell="A1">
      <selection activeCell="A1" sqref="A1:D1"/>
    </sheetView>
  </sheetViews>
  <sheetFormatPr defaultColWidth="8.88671875" defaultRowHeight="13.5"/>
  <cols>
    <col min="1" max="2" width="9.77734375" style="1" customWidth="1"/>
    <col min="3" max="3" width="13.21484375" style="1" customWidth="1"/>
    <col min="4" max="4" width="9.77734375" style="35" customWidth="1"/>
    <col min="5" max="5" width="9.77734375" style="1" customWidth="1"/>
    <col min="6" max="6" width="7.77734375" style="3" customWidth="1"/>
    <col min="7" max="7" width="5.4453125" style="4" customWidth="1"/>
    <col min="8" max="8" width="10.3359375" style="10" customWidth="1"/>
    <col min="9" max="9" width="10.10546875" style="13" customWidth="1"/>
    <col min="10" max="11" width="2.4453125" style="1" customWidth="1"/>
    <col min="12" max="12" width="2.77734375" style="1" customWidth="1"/>
    <col min="13" max="13" width="2.4453125" style="1" customWidth="1"/>
    <col min="14" max="14" width="3.6640625" style="1" customWidth="1"/>
    <col min="15" max="15" width="2.4453125" style="1" customWidth="1"/>
    <col min="16" max="16" width="14.21484375" style="11" customWidth="1"/>
    <col min="17" max="16384" width="8.88671875" style="1" customWidth="1"/>
  </cols>
  <sheetData>
    <row r="1" spans="1:16" s="53" customFormat="1" ht="18" customHeight="1">
      <c r="A1" s="295" t="s">
        <v>213</v>
      </c>
      <c r="B1" s="296"/>
      <c r="C1" s="296"/>
      <c r="D1" s="296"/>
      <c r="F1" s="61"/>
      <c r="G1" s="55"/>
      <c r="H1" s="62"/>
      <c r="I1" s="63"/>
      <c r="P1" s="64"/>
    </row>
    <row r="2" spans="1:16" s="53" customFormat="1" ht="9.95" customHeight="1">
      <c r="A2" s="56"/>
      <c r="B2" s="57"/>
      <c r="C2" s="57"/>
      <c r="D2" s="65"/>
      <c r="E2" s="57"/>
      <c r="F2" s="61"/>
      <c r="G2" s="55"/>
      <c r="H2" s="62"/>
      <c r="I2" s="63"/>
      <c r="P2" s="64"/>
    </row>
    <row r="3" spans="1:16" s="53" customFormat="1" ht="18" customHeight="1">
      <c r="A3" s="58" t="s">
        <v>75</v>
      </c>
      <c r="D3" s="66"/>
      <c r="F3" s="61"/>
      <c r="G3" s="55"/>
      <c r="H3" s="67"/>
      <c r="I3" s="63"/>
      <c r="K3" s="61"/>
      <c r="P3" s="99" t="s">
        <v>74</v>
      </c>
    </row>
    <row r="4" spans="1:16" s="59" customFormat="1" ht="18" customHeight="1">
      <c r="A4" s="291" t="s">
        <v>20</v>
      </c>
      <c r="B4" s="292"/>
      <c r="C4" s="292"/>
      <c r="D4" s="320" t="s">
        <v>189</v>
      </c>
      <c r="E4" s="298" t="s">
        <v>188</v>
      </c>
      <c r="F4" s="292" t="s">
        <v>21</v>
      </c>
      <c r="G4" s="314"/>
      <c r="H4" s="314" t="s">
        <v>22</v>
      </c>
      <c r="I4" s="315"/>
      <c r="J4" s="315"/>
      <c r="K4" s="315"/>
      <c r="L4" s="315"/>
      <c r="M4" s="315"/>
      <c r="N4" s="315"/>
      <c r="O4" s="315"/>
      <c r="P4" s="316"/>
    </row>
    <row r="5" spans="1:16" s="59" customFormat="1" ht="18" customHeight="1">
      <c r="A5" s="37" t="s">
        <v>23</v>
      </c>
      <c r="B5" s="38" t="s">
        <v>24</v>
      </c>
      <c r="C5" s="38" t="s">
        <v>25</v>
      </c>
      <c r="D5" s="321"/>
      <c r="E5" s="299"/>
      <c r="F5" s="38" t="s">
        <v>26</v>
      </c>
      <c r="G5" s="68" t="s">
        <v>27</v>
      </c>
      <c r="H5" s="317"/>
      <c r="I5" s="318"/>
      <c r="J5" s="318"/>
      <c r="K5" s="318"/>
      <c r="L5" s="318"/>
      <c r="M5" s="318"/>
      <c r="N5" s="318"/>
      <c r="O5" s="318"/>
      <c r="P5" s="319"/>
    </row>
    <row r="6" spans="1:17" s="75" customFormat="1" ht="18" customHeight="1">
      <c r="A6" s="307" t="s">
        <v>4</v>
      </c>
      <c r="B6" s="286"/>
      <c r="C6" s="286"/>
      <c r="D6" s="69">
        <f>D7+D10+D17+D20+D24</f>
        <v>46847896</v>
      </c>
      <c r="E6" s="69">
        <f>P6</f>
        <v>52772978</v>
      </c>
      <c r="F6" s="70">
        <f>E6-D6</f>
        <v>5925082</v>
      </c>
      <c r="G6" s="71">
        <f>F6/D6</f>
        <v>0.12647487946950703</v>
      </c>
      <c r="H6" s="312" t="s">
        <v>17</v>
      </c>
      <c r="I6" s="313"/>
      <c r="J6" s="313"/>
      <c r="K6" s="313"/>
      <c r="L6" s="72"/>
      <c r="M6" s="72"/>
      <c r="N6" s="72"/>
      <c r="O6" s="72"/>
      <c r="P6" s="73">
        <f>SUM(P7,P10,P17,P20,P24)</f>
        <v>52772978</v>
      </c>
      <c r="Q6" s="74"/>
    </row>
    <row r="7" spans="1:16" s="75" customFormat="1" ht="18" customHeight="1">
      <c r="A7" s="308" t="s">
        <v>7</v>
      </c>
      <c r="B7" s="279" t="s">
        <v>5</v>
      </c>
      <c r="C7" s="279"/>
      <c r="D7" s="45">
        <f>D8</f>
        <v>6300000</v>
      </c>
      <c r="E7" s="45">
        <f>E8</f>
        <v>8640000</v>
      </c>
      <c r="F7" s="46">
        <f aca="true" t="shared" si="0" ref="F7:F27">E7-D7</f>
        <v>2340000</v>
      </c>
      <c r="G7" s="85">
        <f aca="true" t="shared" si="1" ref="G7">F7/D7</f>
        <v>0.37142857142857144</v>
      </c>
      <c r="H7" s="77" t="s">
        <v>7</v>
      </c>
      <c r="I7" s="78"/>
      <c r="J7" s="79"/>
      <c r="K7" s="80"/>
      <c r="L7" s="81"/>
      <c r="M7" s="79"/>
      <c r="N7" s="80"/>
      <c r="O7" s="81"/>
      <c r="P7" s="82">
        <f>P8</f>
        <v>8640000</v>
      </c>
    </row>
    <row r="8" spans="1:16" s="75" customFormat="1" ht="18" customHeight="1">
      <c r="A8" s="308"/>
      <c r="B8" s="279" t="s">
        <v>7</v>
      </c>
      <c r="C8" s="48" t="s">
        <v>6</v>
      </c>
      <c r="D8" s="83">
        <f>D9</f>
        <v>6300000</v>
      </c>
      <c r="E8" s="46">
        <f>E9</f>
        <v>8640000</v>
      </c>
      <c r="F8" s="46">
        <f t="shared" si="0"/>
        <v>2340000</v>
      </c>
      <c r="G8" s="85">
        <f aca="true" t="shared" si="2" ref="G8:G10">F8/D8</f>
        <v>0.37142857142857144</v>
      </c>
      <c r="H8" s="84" t="s">
        <v>19</v>
      </c>
      <c r="I8" s="78"/>
      <c r="J8" s="79"/>
      <c r="K8" s="80"/>
      <c r="L8" s="81"/>
      <c r="M8" s="79"/>
      <c r="N8" s="80"/>
      <c r="O8" s="81"/>
      <c r="P8" s="82">
        <f>P9</f>
        <v>8640000</v>
      </c>
    </row>
    <row r="9" spans="1:16" s="75" customFormat="1" ht="18" customHeight="1">
      <c r="A9" s="308"/>
      <c r="B9" s="279"/>
      <c r="C9" s="48" t="s">
        <v>8</v>
      </c>
      <c r="D9" s="83">
        <v>6300000</v>
      </c>
      <c r="E9" s="83">
        <f>P9</f>
        <v>8640000</v>
      </c>
      <c r="F9" s="46">
        <f>E9-D9</f>
        <v>2340000</v>
      </c>
      <c r="G9" s="85">
        <f aca="true" t="shared" si="3" ref="G9:G11">F9/D9</f>
        <v>0.37142857142857144</v>
      </c>
      <c r="H9" s="84" t="s">
        <v>19</v>
      </c>
      <c r="I9" s="324"/>
      <c r="J9" s="324"/>
      <c r="K9" s="324"/>
      <c r="L9" s="324"/>
      <c r="M9" s="324"/>
      <c r="N9" s="324"/>
      <c r="O9" s="324"/>
      <c r="P9" s="82">
        <v>8640000</v>
      </c>
    </row>
    <row r="10" spans="1:16" s="75" customFormat="1" ht="18" customHeight="1">
      <c r="A10" s="308" t="s">
        <v>9</v>
      </c>
      <c r="B10" s="279" t="s">
        <v>5</v>
      </c>
      <c r="C10" s="279"/>
      <c r="D10" s="83">
        <f>SUM(D11,D15)</f>
        <v>39776000</v>
      </c>
      <c r="E10" s="46">
        <f>E11+E15</f>
        <v>43769060</v>
      </c>
      <c r="F10" s="46">
        <f>E10-D10</f>
        <v>3993060</v>
      </c>
      <c r="G10" s="85">
        <f t="shared" si="2"/>
        <v>0.10038867658889783</v>
      </c>
      <c r="H10" s="77" t="s">
        <v>9</v>
      </c>
      <c r="I10" s="78">
        <f>P10</f>
        <v>43769060</v>
      </c>
      <c r="J10" s="86"/>
      <c r="K10" s="80"/>
      <c r="L10" s="81"/>
      <c r="M10" s="86"/>
      <c r="N10" s="80"/>
      <c r="O10" s="81"/>
      <c r="P10" s="82">
        <f>P11+P15</f>
        <v>43769060</v>
      </c>
    </row>
    <row r="11" spans="1:16" s="75" customFormat="1" ht="18" customHeight="1">
      <c r="A11" s="308"/>
      <c r="B11" s="279" t="s">
        <v>9</v>
      </c>
      <c r="C11" s="48" t="s">
        <v>6</v>
      </c>
      <c r="D11" s="83">
        <f>SUM(D12:D14)</f>
        <v>39776000</v>
      </c>
      <c r="E11" s="46">
        <f>P11</f>
        <v>43769060</v>
      </c>
      <c r="F11" s="46">
        <f t="shared" si="0"/>
        <v>3993060</v>
      </c>
      <c r="G11" s="85">
        <f t="shared" si="3"/>
        <v>0.10038867658889783</v>
      </c>
      <c r="H11" s="77"/>
      <c r="I11" s="78"/>
      <c r="J11" s="78"/>
      <c r="K11" s="87"/>
      <c r="L11" s="88"/>
      <c r="M11" s="88"/>
      <c r="N11" s="88"/>
      <c r="O11" s="88"/>
      <c r="P11" s="82">
        <f>P12+P13+P14</f>
        <v>43769060</v>
      </c>
    </row>
    <row r="12" spans="1:16" s="75" customFormat="1" ht="18" customHeight="1">
      <c r="A12" s="308"/>
      <c r="B12" s="279"/>
      <c r="C12" s="48" t="s">
        <v>197</v>
      </c>
      <c r="D12" s="325">
        <v>36296000</v>
      </c>
      <c r="E12" s="45">
        <f>P12</f>
        <v>6984000</v>
      </c>
      <c r="F12" s="46"/>
      <c r="G12" s="85"/>
      <c r="H12" s="77" t="s">
        <v>201</v>
      </c>
      <c r="I12" s="78">
        <v>1746000</v>
      </c>
      <c r="J12" s="263" t="s">
        <v>53</v>
      </c>
      <c r="K12" s="87">
        <v>4</v>
      </c>
      <c r="L12" s="88" t="s">
        <v>199</v>
      </c>
      <c r="M12" s="263" t="s">
        <v>200</v>
      </c>
      <c r="N12" s="88"/>
      <c r="O12" s="88"/>
      <c r="P12" s="82">
        <f>I12*K12</f>
        <v>6984000</v>
      </c>
    </row>
    <row r="13" spans="1:16" s="75" customFormat="1" ht="18" customHeight="1">
      <c r="A13" s="308"/>
      <c r="B13" s="279"/>
      <c r="C13" s="259" t="s">
        <v>198</v>
      </c>
      <c r="D13" s="326"/>
      <c r="E13" s="45">
        <f>P13</f>
        <v>33305060</v>
      </c>
      <c r="F13" s="46"/>
      <c r="G13" s="85"/>
      <c r="H13" s="77" t="s">
        <v>198</v>
      </c>
      <c r="I13" s="78"/>
      <c r="J13" s="78"/>
      <c r="K13" s="87"/>
      <c r="L13" s="88"/>
      <c r="M13" s="88"/>
      <c r="N13" s="88"/>
      <c r="O13" s="88"/>
      <c r="P13" s="82">
        <v>33305060</v>
      </c>
    </row>
    <row r="14" spans="1:16" s="75" customFormat="1" ht="18" customHeight="1">
      <c r="A14" s="308"/>
      <c r="B14" s="279"/>
      <c r="C14" s="48" t="s">
        <v>18</v>
      </c>
      <c r="D14" s="45">
        <v>3480000</v>
      </c>
      <c r="E14" s="45">
        <f>P14</f>
        <v>3480000</v>
      </c>
      <c r="F14" s="46">
        <f t="shared" si="0"/>
        <v>0</v>
      </c>
      <c r="G14" s="85"/>
      <c r="H14" s="77" t="s">
        <v>18</v>
      </c>
      <c r="I14" s="78">
        <v>290000</v>
      </c>
      <c r="J14" s="79" t="s">
        <v>53</v>
      </c>
      <c r="K14" s="80">
        <v>1</v>
      </c>
      <c r="L14" s="81" t="s">
        <v>1</v>
      </c>
      <c r="M14" s="79" t="s">
        <v>0</v>
      </c>
      <c r="N14" s="80">
        <v>12</v>
      </c>
      <c r="O14" s="81" t="s">
        <v>2</v>
      </c>
      <c r="P14" s="82">
        <f>I14*K14*N14</f>
        <v>3480000</v>
      </c>
    </row>
    <row r="15" spans="1:16" s="75" customFormat="1" ht="18" customHeight="1">
      <c r="A15" s="308"/>
      <c r="B15" s="279" t="s">
        <v>50</v>
      </c>
      <c r="C15" s="48" t="s">
        <v>6</v>
      </c>
      <c r="D15" s="45">
        <f>D16</f>
        <v>0</v>
      </c>
      <c r="E15" s="45">
        <f>E16</f>
        <v>0</v>
      </c>
      <c r="F15" s="46">
        <f t="shared" si="0"/>
        <v>0</v>
      </c>
      <c r="G15" s="76"/>
      <c r="H15" s="77"/>
      <c r="I15" s="78"/>
      <c r="J15" s="89"/>
      <c r="K15" s="87"/>
      <c r="L15" s="88"/>
      <c r="M15" s="88"/>
      <c r="N15" s="88"/>
      <c r="O15" s="88"/>
      <c r="P15" s="82">
        <f>P16</f>
        <v>0</v>
      </c>
    </row>
    <row r="16" spans="1:16" s="75" customFormat="1" ht="18" customHeight="1">
      <c r="A16" s="308"/>
      <c r="B16" s="279"/>
      <c r="C16" s="48" t="s">
        <v>50</v>
      </c>
      <c r="D16" s="45">
        <v>0</v>
      </c>
      <c r="E16" s="45">
        <v>0</v>
      </c>
      <c r="F16" s="46">
        <f>E16-D16</f>
        <v>0</v>
      </c>
      <c r="G16" s="76"/>
      <c r="H16" s="77"/>
      <c r="I16" s="78"/>
      <c r="J16" s="89"/>
      <c r="K16" s="87"/>
      <c r="L16" s="88"/>
      <c r="M16" s="88"/>
      <c r="N16" s="88"/>
      <c r="O16" s="88"/>
      <c r="P16" s="82"/>
    </row>
    <row r="17" spans="1:16" s="75" customFormat="1" ht="18" customHeight="1">
      <c r="A17" s="308" t="s">
        <v>10</v>
      </c>
      <c r="B17" s="279" t="s">
        <v>5</v>
      </c>
      <c r="C17" s="279"/>
      <c r="D17" s="83">
        <f>D18</f>
        <v>354000</v>
      </c>
      <c r="E17" s="46">
        <f>E18</f>
        <v>30000</v>
      </c>
      <c r="F17" s="46">
        <f t="shared" si="0"/>
        <v>-324000</v>
      </c>
      <c r="G17" s="85">
        <f aca="true" t="shared" si="4" ref="G17:G23">F17/D17</f>
        <v>-0.9152542372881356</v>
      </c>
      <c r="H17" s="77"/>
      <c r="I17" s="78"/>
      <c r="J17" s="81"/>
      <c r="K17" s="90"/>
      <c r="L17" s="91"/>
      <c r="M17" s="91"/>
      <c r="N17" s="91"/>
      <c r="O17" s="91"/>
      <c r="P17" s="82">
        <f>P18</f>
        <v>30000</v>
      </c>
    </row>
    <row r="18" spans="1:16" s="75" customFormat="1" ht="18" customHeight="1">
      <c r="A18" s="308"/>
      <c r="B18" s="279" t="s">
        <v>10</v>
      </c>
      <c r="C18" s="48" t="s">
        <v>6</v>
      </c>
      <c r="D18" s="83">
        <f>D19</f>
        <v>354000</v>
      </c>
      <c r="E18" s="46">
        <f>E19</f>
        <v>30000</v>
      </c>
      <c r="F18" s="46">
        <f t="shared" si="0"/>
        <v>-324000</v>
      </c>
      <c r="G18" s="85">
        <f t="shared" si="4"/>
        <v>-0.9152542372881356</v>
      </c>
      <c r="H18" s="154" t="s">
        <v>133</v>
      </c>
      <c r="I18" s="78"/>
      <c r="J18" s="81"/>
      <c r="K18" s="90"/>
      <c r="L18" s="91"/>
      <c r="M18" s="91"/>
      <c r="N18" s="91"/>
      <c r="O18" s="91"/>
      <c r="P18" s="82">
        <f>P19</f>
        <v>30000</v>
      </c>
    </row>
    <row r="19" spans="1:16" s="75" customFormat="1" ht="18" customHeight="1">
      <c r="A19" s="308"/>
      <c r="B19" s="279"/>
      <c r="C19" s="48" t="s">
        <v>11</v>
      </c>
      <c r="D19" s="45">
        <v>354000</v>
      </c>
      <c r="E19" s="45">
        <f>P19</f>
        <v>30000</v>
      </c>
      <c r="F19" s="46">
        <f t="shared" si="0"/>
        <v>-324000</v>
      </c>
      <c r="G19" s="85">
        <f t="shared" si="4"/>
        <v>-0.9152542372881356</v>
      </c>
      <c r="H19" s="154" t="s">
        <v>133</v>
      </c>
      <c r="I19" s="91"/>
      <c r="J19" s="86"/>
      <c r="K19" s="80"/>
      <c r="L19" s="81"/>
      <c r="M19" s="86"/>
      <c r="N19" s="80"/>
      <c r="O19" s="81"/>
      <c r="P19" s="82">
        <v>30000</v>
      </c>
    </row>
    <row r="20" spans="1:16" s="75" customFormat="1" ht="18" customHeight="1">
      <c r="A20" s="308" t="s">
        <v>12</v>
      </c>
      <c r="B20" s="279" t="s">
        <v>5</v>
      </c>
      <c r="C20" s="279"/>
      <c r="D20" s="83">
        <f>D21</f>
        <v>412896</v>
      </c>
      <c r="E20" s="46">
        <f>E21</f>
        <v>328918</v>
      </c>
      <c r="F20" s="46">
        <f t="shared" si="0"/>
        <v>-83978</v>
      </c>
      <c r="G20" s="85">
        <f t="shared" si="4"/>
        <v>-0.20338777803611563</v>
      </c>
      <c r="H20" s="84" t="s">
        <v>12</v>
      </c>
      <c r="I20" s="78"/>
      <c r="J20" s="81"/>
      <c r="K20" s="92"/>
      <c r="L20" s="91"/>
      <c r="M20" s="91"/>
      <c r="N20" s="91"/>
      <c r="O20" s="91"/>
      <c r="P20" s="82">
        <f>P21</f>
        <v>328918</v>
      </c>
    </row>
    <row r="21" spans="1:16" s="75" customFormat="1" ht="18" customHeight="1">
      <c r="A21" s="308"/>
      <c r="B21" s="279" t="s">
        <v>12</v>
      </c>
      <c r="C21" s="48" t="s">
        <v>6</v>
      </c>
      <c r="D21" s="45">
        <f>SUM(D22:D23)</f>
        <v>412896</v>
      </c>
      <c r="E21" s="45">
        <f>E22+E23</f>
        <v>328918</v>
      </c>
      <c r="F21" s="46">
        <f t="shared" si="0"/>
        <v>-83978</v>
      </c>
      <c r="G21" s="85">
        <f t="shared" si="4"/>
        <v>-0.20338777803611563</v>
      </c>
      <c r="H21" s="84" t="s">
        <v>12</v>
      </c>
      <c r="I21" s="78"/>
      <c r="J21" s="81"/>
      <c r="K21" s="90"/>
      <c r="L21" s="91"/>
      <c r="M21" s="91"/>
      <c r="N21" s="91"/>
      <c r="O21" s="91"/>
      <c r="P21" s="82">
        <f>P22+P23</f>
        <v>328918</v>
      </c>
    </row>
    <row r="22" spans="1:16" s="75" customFormat="1" ht="18" customHeight="1">
      <c r="A22" s="308"/>
      <c r="B22" s="279"/>
      <c r="C22" s="48" t="s">
        <v>13</v>
      </c>
      <c r="D22" s="45">
        <v>408203</v>
      </c>
      <c r="E22" s="45">
        <f>P22</f>
        <v>324839</v>
      </c>
      <c r="F22" s="46">
        <f t="shared" si="0"/>
        <v>-83364</v>
      </c>
      <c r="G22" s="85">
        <f t="shared" si="4"/>
        <v>-0.20422191899618572</v>
      </c>
      <c r="H22" s="84" t="s">
        <v>13</v>
      </c>
      <c r="I22" s="91"/>
      <c r="J22" s="81"/>
      <c r="K22" s="90"/>
      <c r="L22" s="91"/>
      <c r="M22" s="91"/>
      <c r="N22" s="91"/>
      <c r="O22" s="91"/>
      <c r="P22" s="82">
        <v>324839</v>
      </c>
    </row>
    <row r="23" spans="1:16" s="75" customFormat="1" ht="18" customHeight="1">
      <c r="A23" s="308"/>
      <c r="B23" s="279"/>
      <c r="C23" s="160" t="s">
        <v>182</v>
      </c>
      <c r="D23" s="45">
        <v>4693</v>
      </c>
      <c r="E23" s="45">
        <f>P23</f>
        <v>4079</v>
      </c>
      <c r="F23" s="46">
        <f t="shared" si="0"/>
        <v>-614</v>
      </c>
      <c r="G23" s="85">
        <f t="shared" si="4"/>
        <v>-0.1308331557639037</v>
      </c>
      <c r="H23" s="322" t="s">
        <v>181</v>
      </c>
      <c r="I23" s="323"/>
      <c r="J23" s="91"/>
      <c r="K23" s="91"/>
      <c r="L23" s="91"/>
      <c r="M23" s="91"/>
      <c r="N23" s="91"/>
      <c r="O23" s="91"/>
      <c r="P23" s="93">
        <v>4079</v>
      </c>
    </row>
    <row r="24" spans="1:16" s="75" customFormat="1" ht="18" customHeight="1">
      <c r="A24" s="308" t="s">
        <v>14</v>
      </c>
      <c r="B24" s="279" t="s">
        <v>5</v>
      </c>
      <c r="C24" s="279"/>
      <c r="D24" s="45">
        <f>D25</f>
        <v>5000</v>
      </c>
      <c r="E24" s="45">
        <f>E25</f>
        <v>5000</v>
      </c>
      <c r="F24" s="46">
        <f t="shared" si="0"/>
        <v>0</v>
      </c>
      <c r="G24" s="85"/>
      <c r="H24" s="261" t="s">
        <v>14</v>
      </c>
      <c r="I24" s="78"/>
      <c r="J24" s="81"/>
      <c r="K24" s="92"/>
      <c r="L24" s="262"/>
      <c r="M24" s="262"/>
      <c r="N24" s="262"/>
      <c r="O24" s="262"/>
      <c r="P24" s="82">
        <f>P25</f>
        <v>5000</v>
      </c>
    </row>
    <row r="25" spans="1:16" s="75" customFormat="1" ht="18" customHeight="1">
      <c r="A25" s="308"/>
      <c r="B25" s="279" t="s">
        <v>14</v>
      </c>
      <c r="C25" s="259" t="s">
        <v>6</v>
      </c>
      <c r="D25" s="45">
        <f>D26+D27</f>
        <v>5000</v>
      </c>
      <c r="E25" s="45">
        <f>E26+E27</f>
        <v>5000</v>
      </c>
      <c r="F25" s="46">
        <f t="shared" si="0"/>
        <v>0</v>
      </c>
      <c r="G25" s="85"/>
      <c r="H25" s="261"/>
      <c r="I25" s="78"/>
      <c r="J25" s="81"/>
      <c r="K25" s="90"/>
      <c r="L25" s="262"/>
      <c r="M25" s="262"/>
      <c r="N25" s="262"/>
      <c r="O25" s="262"/>
      <c r="P25" s="82">
        <f>P26+P27</f>
        <v>5000</v>
      </c>
    </row>
    <row r="26" spans="1:16" s="75" customFormat="1" ht="18" customHeight="1">
      <c r="A26" s="308"/>
      <c r="B26" s="279"/>
      <c r="C26" s="259" t="s">
        <v>15</v>
      </c>
      <c r="D26" s="45">
        <v>5000</v>
      </c>
      <c r="E26" s="45">
        <f>P26</f>
        <v>5000</v>
      </c>
      <c r="F26" s="46">
        <f>E26-D26</f>
        <v>0</v>
      </c>
      <c r="G26" s="85"/>
      <c r="H26" s="261" t="s">
        <v>16</v>
      </c>
      <c r="I26" s="78"/>
      <c r="J26" s="81"/>
      <c r="K26" s="92"/>
      <c r="L26" s="262"/>
      <c r="M26" s="262"/>
      <c r="N26" s="262"/>
      <c r="O26" s="262"/>
      <c r="P26" s="82">
        <v>5000</v>
      </c>
    </row>
    <row r="27" spans="1:16" s="75" customFormat="1" ht="18" customHeight="1">
      <c r="A27" s="309"/>
      <c r="B27" s="310"/>
      <c r="C27" s="260" t="s">
        <v>3</v>
      </c>
      <c r="D27" s="49"/>
      <c r="E27" s="49">
        <f>P27</f>
        <v>0</v>
      </c>
      <c r="F27" s="50">
        <f t="shared" si="0"/>
        <v>0</v>
      </c>
      <c r="G27" s="269">
        <v>-1</v>
      </c>
      <c r="H27" s="94" t="s">
        <v>14</v>
      </c>
      <c r="I27" s="174"/>
      <c r="J27" s="95"/>
      <c r="K27" s="96"/>
      <c r="L27" s="97"/>
      <c r="M27" s="95"/>
      <c r="N27" s="96"/>
      <c r="O27" s="97"/>
      <c r="P27" s="98"/>
    </row>
    <row r="28" ht="7.5" customHeight="1"/>
    <row r="29" ht="18.95" customHeight="1"/>
    <row r="30" ht="18.95" customHeight="1"/>
    <row r="31" ht="18.95" customHeight="1"/>
    <row r="32" spans="1:16" s="2" customFormat="1" ht="18.95" customHeight="1">
      <c r="A32" s="1"/>
      <c r="B32" s="1"/>
      <c r="C32" s="1"/>
      <c r="D32" s="35"/>
      <c r="E32" s="1"/>
      <c r="F32" s="3"/>
      <c r="G32" s="4"/>
      <c r="H32" s="10"/>
      <c r="I32" s="13"/>
      <c r="J32" s="1"/>
      <c r="K32" s="1"/>
      <c r="P32" s="12"/>
    </row>
    <row r="33" spans="1:16" s="2" customFormat="1" ht="18.95" customHeight="1">
      <c r="A33" s="1"/>
      <c r="B33" s="1"/>
      <c r="C33" s="1"/>
      <c r="D33" s="35"/>
      <c r="E33" s="1"/>
      <c r="F33" s="3"/>
      <c r="G33" s="4"/>
      <c r="H33" s="10"/>
      <c r="I33" s="13"/>
      <c r="J33" s="1"/>
      <c r="K33" s="1"/>
      <c r="P33" s="12"/>
    </row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</sheetData>
  <mergeCells count="27">
    <mergeCell ref="A24:A27"/>
    <mergeCell ref="B11:B14"/>
    <mergeCell ref="B15:B16"/>
    <mergeCell ref="B18:B19"/>
    <mergeCell ref="B21:B23"/>
    <mergeCell ref="B25:B27"/>
    <mergeCell ref="B24:C24"/>
    <mergeCell ref="B20:C20"/>
    <mergeCell ref="A10:A16"/>
    <mergeCell ref="A17:A19"/>
    <mergeCell ref="A7:A9"/>
    <mergeCell ref="B8:B9"/>
    <mergeCell ref="H23:I23"/>
    <mergeCell ref="A20:A23"/>
    <mergeCell ref="B7:C7"/>
    <mergeCell ref="B10:C10"/>
    <mergeCell ref="B17:C17"/>
    <mergeCell ref="I9:O9"/>
    <mergeCell ref="D12:D13"/>
    <mergeCell ref="A1:D1"/>
    <mergeCell ref="A4:C4"/>
    <mergeCell ref="A6:C6"/>
    <mergeCell ref="H6:K6"/>
    <mergeCell ref="H4:P5"/>
    <mergeCell ref="F4:G4"/>
    <mergeCell ref="D4:D5"/>
    <mergeCell ref="E4:E5"/>
  </mergeCells>
  <printOptions/>
  <pageMargins left="0.5905511811023623" right="0.5905511811023623" top="0.5118110236220472" bottom="0.31496062992125984" header="0.3937007874015748" footer="0.2755905511811024"/>
  <pageSetup horizontalDpi="300" verticalDpi="300" orientation="landscape" paperSize="9" r:id="rId1"/>
  <headerFooter alignWithMargins="0">
    <oddFooter>&amp;R&amp;"굴림,보통"&amp;9 2014 성모공동생활가정 세입예산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 topLeftCell="A1">
      <pane ySplit="5" topLeftCell="A6" activePane="bottomLeft" state="frozen"/>
      <selection pane="topLeft" activeCell="A5" sqref="A5:H5"/>
      <selection pane="bottomLeft" activeCell="A1" sqref="A1:F1"/>
    </sheetView>
  </sheetViews>
  <sheetFormatPr defaultColWidth="8.88671875" defaultRowHeight="13.5"/>
  <cols>
    <col min="1" max="1" width="5.5546875" style="5" customWidth="1"/>
    <col min="2" max="2" width="7.99609375" style="5" customWidth="1"/>
    <col min="3" max="3" width="10.99609375" style="5" customWidth="1"/>
    <col min="4" max="4" width="8.3359375" style="6" customWidth="1"/>
    <col min="5" max="5" width="8.3359375" style="36" customWidth="1"/>
    <col min="6" max="6" width="7.3359375" style="5" customWidth="1"/>
    <col min="7" max="7" width="6.99609375" style="6" customWidth="1"/>
    <col min="8" max="8" width="16.21484375" style="7" customWidth="1"/>
    <col min="9" max="9" width="9.88671875" style="7" customWidth="1"/>
    <col min="10" max="10" width="2.6640625" style="7" customWidth="1"/>
    <col min="11" max="11" width="2.4453125" style="7" customWidth="1"/>
    <col min="12" max="12" width="2.3359375" style="7" customWidth="1"/>
    <col min="13" max="13" width="5.3359375" style="8" customWidth="1"/>
    <col min="14" max="14" width="3.10546875" style="8" customWidth="1"/>
    <col min="15" max="15" width="5.77734375" style="7" customWidth="1"/>
    <col min="16" max="16" width="2.5546875" style="8" customWidth="1"/>
    <col min="17" max="17" width="10.4453125" style="7" customWidth="1"/>
    <col min="18" max="18" width="8.88671875" style="6" customWidth="1"/>
    <col min="19" max="16384" width="8.88671875" style="5" customWidth="1"/>
  </cols>
  <sheetData>
    <row r="1" spans="1:18" s="57" customFormat="1" ht="18" customHeight="1">
      <c r="A1" s="295" t="s">
        <v>213</v>
      </c>
      <c r="B1" s="295"/>
      <c r="C1" s="295"/>
      <c r="D1" s="295"/>
      <c r="E1" s="295"/>
      <c r="F1" s="295"/>
      <c r="G1" s="18"/>
      <c r="H1" s="100"/>
      <c r="I1" s="100"/>
      <c r="J1" s="100"/>
      <c r="K1" s="100"/>
      <c r="L1" s="100"/>
      <c r="M1" s="17"/>
      <c r="N1" s="17"/>
      <c r="O1" s="100"/>
      <c r="P1" s="17"/>
      <c r="Q1" s="100"/>
      <c r="R1" s="18"/>
    </row>
    <row r="2" spans="1:18" s="57" customFormat="1" ht="12" customHeight="1">
      <c r="A2" s="101"/>
      <c r="B2" s="101"/>
      <c r="C2" s="101"/>
      <c r="D2" s="102"/>
      <c r="E2" s="103"/>
      <c r="F2" s="101"/>
      <c r="G2" s="18"/>
      <c r="H2" s="100"/>
      <c r="I2" s="100"/>
      <c r="J2" s="100"/>
      <c r="K2" s="100"/>
      <c r="L2" s="100"/>
      <c r="M2" s="17"/>
      <c r="N2" s="17"/>
      <c r="O2" s="100"/>
      <c r="P2" s="17"/>
      <c r="Q2" s="100"/>
      <c r="R2" s="18"/>
    </row>
    <row r="3" spans="1:18" s="57" customFormat="1" ht="18.6" customHeight="1">
      <c r="A3" s="58" t="s">
        <v>79</v>
      </c>
      <c r="D3" s="18"/>
      <c r="E3" s="104"/>
      <c r="G3" s="18"/>
      <c r="H3" s="105">
        <f>시세입!P6-Q6</f>
        <v>0</v>
      </c>
      <c r="I3" s="100"/>
      <c r="J3" s="100"/>
      <c r="K3" s="100"/>
      <c r="L3" s="100"/>
      <c r="M3" s="17"/>
      <c r="N3" s="17"/>
      <c r="O3" s="100"/>
      <c r="P3" s="17"/>
      <c r="Q3" s="52" t="s">
        <v>54</v>
      </c>
      <c r="R3" s="18"/>
    </row>
    <row r="4" spans="1:18" s="59" customFormat="1" ht="18.6" customHeight="1">
      <c r="A4" s="291" t="s">
        <v>58</v>
      </c>
      <c r="B4" s="292"/>
      <c r="C4" s="292"/>
      <c r="D4" s="353" t="s">
        <v>190</v>
      </c>
      <c r="E4" s="355" t="s">
        <v>191</v>
      </c>
      <c r="F4" s="292" t="s">
        <v>57</v>
      </c>
      <c r="G4" s="292"/>
      <c r="H4" s="363" t="s">
        <v>80</v>
      </c>
      <c r="I4" s="363"/>
      <c r="J4" s="363"/>
      <c r="K4" s="363"/>
      <c r="L4" s="363"/>
      <c r="M4" s="363"/>
      <c r="N4" s="363"/>
      <c r="O4" s="363"/>
      <c r="P4" s="363"/>
      <c r="Q4" s="364"/>
      <c r="R4" s="162"/>
    </row>
    <row r="5" spans="1:18" s="59" customFormat="1" ht="18.6" customHeight="1">
      <c r="A5" s="37" t="s">
        <v>59</v>
      </c>
      <c r="B5" s="38" t="s">
        <v>60</v>
      </c>
      <c r="C5" s="38" t="s">
        <v>61</v>
      </c>
      <c r="D5" s="354"/>
      <c r="E5" s="356"/>
      <c r="F5" s="38" t="s">
        <v>62</v>
      </c>
      <c r="G5" s="38" t="s">
        <v>63</v>
      </c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162"/>
    </row>
    <row r="6" spans="1:18" s="75" customFormat="1" ht="18.2" customHeight="1">
      <c r="A6" s="293" t="s">
        <v>64</v>
      </c>
      <c r="B6" s="294"/>
      <c r="C6" s="294"/>
      <c r="D6" s="106">
        <f>D7+D38+D42+D63+D60+D54+D57</f>
        <v>46847816</v>
      </c>
      <c r="E6" s="106">
        <f>Q6</f>
        <v>52772978</v>
      </c>
      <c r="F6" s="107">
        <f>E6-D6</f>
        <v>5925162</v>
      </c>
      <c r="G6" s="108">
        <f>F6/D6</f>
        <v>0.12647680310219797</v>
      </c>
      <c r="H6" s="109" t="s">
        <v>81</v>
      </c>
      <c r="I6" s="110"/>
      <c r="J6" s="110"/>
      <c r="K6" s="110"/>
      <c r="L6" s="110"/>
      <c r="M6" s="110"/>
      <c r="N6" s="110"/>
      <c r="O6" s="110"/>
      <c r="P6" s="111"/>
      <c r="Q6" s="112">
        <f>Q7+Q38+Q42+Q57+Q60+Q63</f>
        <v>52772978</v>
      </c>
      <c r="R6" s="74"/>
    </row>
    <row r="7" spans="1:18" s="75" customFormat="1" ht="18.2" customHeight="1">
      <c r="A7" s="308" t="s">
        <v>65</v>
      </c>
      <c r="B7" s="279" t="s">
        <v>76</v>
      </c>
      <c r="C7" s="279"/>
      <c r="D7" s="113">
        <f>SUM(D8,D29,D32)</f>
        <v>37763590</v>
      </c>
      <c r="E7" s="113">
        <f>SUM(E8,E29,E32)</f>
        <v>41304060</v>
      </c>
      <c r="F7" s="83">
        <f>E7-D7</f>
        <v>3540470</v>
      </c>
      <c r="G7" s="180">
        <f>F7/D7</f>
        <v>0.0937535334961533</v>
      </c>
      <c r="H7" s="87" t="s">
        <v>82</v>
      </c>
      <c r="I7" s="114"/>
      <c r="J7" s="114"/>
      <c r="K7" s="114"/>
      <c r="L7" s="114"/>
      <c r="M7" s="114"/>
      <c r="N7" s="114"/>
      <c r="O7" s="114"/>
      <c r="P7" s="115"/>
      <c r="Q7" s="116">
        <f>Q8+Q29+Q32</f>
        <v>41304060</v>
      </c>
      <c r="R7" s="74"/>
    </row>
    <row r="8" spans="1:18" s="186" customFormat="1" ht="18.2" customHeight="1">
      <c r="A8" s="308"/>
      <c r="B8" s="279" t="s">
        <v>67</v>
      </c>
      <c r="C8" s="177" t="s">
        <v>66</v>
      </c>
      <c r="D8" s="178">
        <f>SUM(D9:D28)</f>
        <v>33156020</v>
      </c>
      <c r="E8" s="178">
        <f>Q8</f>
        <v>36885060</v>
      </c>
      <c r="F8" s="179">
        <f>E8-D8</f>
        <v>3729040</v>
      </c>
      <c r="G8" s="180">
        <f>F8/D8</f>
        <v>0.11246947009924593</v>
      </c>
      <c r="H8" s="181" t="s">
        <v>67</v>
      </c>
      <c r="I8" s="182"/>
      <c r="J8" s="182"/>
      <c r="K8" s="182"/>
      <c r="L8" s="182"/>
      <c r="M8" s="182"/>
      <c r="N8" s="182"/>
      <c r="O8" s="182"/>
      <c r="P8" s="183"/>
      <c r="Q8" s="184">
        <f>Q9+Q10+Q13+Q22+Q23+Q24+Q25+Q26+Q27+Q28</f>
        <v>36885060</v>
      </c>
      <c r="R8" s="185"/>
    </row>
    <row r="9" spans="1:18" s="197" customFormat="1" ht="18.2" customHeight="1">
      <c r="A9" s="308"/>
      <c r="B9" s="279"/>
      <c r="C9" s="198" t="s">
        <v>83</v>
      </c>
      <c r="D9" s="199">
        <v>13464000</v>
      </c>
      <c r="E9" s="199">
        <f>Q9</f>
        <v>15204000</v>
      </c>
      <c r="F9" s="200">
        <f>E9-D9</f>
        <v>1740000</v>
      </c>
      <c r="G9" s="180">
        <f>F9/D9</f>
        <v>0.12923351158645277</v>
      </c>
      <c r="H9" s="201" t="s">
        <v>202</v>
      </c>
      <c r="I9" s="202">
        <v>1267000</v>
      </c>
      <c r="J9" s="203">
        <v>1</v>
      </c>
      <c r="K9" s="204" t="s">
        <v>77</v>
      </c>
      <c r="L9" s="205" t="s">
        <v>0</v>
      </c>
      <c r="M9" s="202"/>
      <c r="N9" s="202"/>
      <c r="O9" s="206">
        <v>12</v>
      </c>
      <c r="P9" s="204" t="s">
        <v>78</v>
      </c>
      <c r="Q9" s="207">
        <f>I9*O9</f>
        <v>15204000</v>
      </c>
      <c r="R9" s="196"/>
    </row>
    <row r="10" spans="1:18" s="75" customFormat="1" ht="18.2" customHeight="1">
      <c r="A10" s="308"/>
      <c r="B10" s="279"/>
      <c r="C10" s="279" t="s">
        <v>84</v>
      </c>
      <c r="D10" s="341">
        <v>6283200</v>
      </c>
      <c r="E10" s="341">
        <f>Q11+Q12</f>
        <v>7221900</v>
      </c>
      <c r="F10" s="357">
        <v>396000</v>
      </c>
      <c r="G10" s="367">
        <f>F10/D10</f>
        <v>0.06302521008403361</v>
      </c>
      <c r="H10" s="124" t="s">
        <v>84</v>
      </c>
      <c r="I10" s="125"/>
      <c r="J10" s="126"/>
      <c r="K10" s="127"/>
      <c r="L10" s="128"/>
      <c r="M10" s="128"/>
      <c r="N10" s="129"/>
      <c r="O10" s="130"/>
      <c r="P10" s="127"/>
      <c r="Q10" s="131">
        <f>Q11+Q12</f>
        <v>7221900</v>
      </c>
      <c r="R10" s="74"/>
    </row>
    <row r="11" spans="1:18" s="75" customFormat="1" ht="18.2" customHeight="1">
      <c r="A11" s="308"/>
      <c r="B11" s="279"/>
      <c r="C11" s="279"/>
      <c r="D11" s="342"/>
      <c r="E11" s="342"/>
      <c r="F11" s="358"/>
      <c r="G11" s="344"/>
      <c r="H11" s="117" t="s">
        <v>85</v>
      </c>
      <c r="I11" s="118">
        <v>1267000</v>
      </c>
      <c r="J11" s="119">
        <v>1</v>
      </c>
      <c r="K11" s="120" t="s">
        <v>77</v>
      </c>
      <c r="L11" s="121" t="s">
        <v>0</v>
      </c>
      <c r="M11" s="121"/>
      <c r="N11" s="132"/>
      <c r="O11" s="122">
        <v>4</v>
      </c>
      <c r="P11" s="120" t="s">
        <v>78</v>
      </c>
      <c r="Q11" s="123">
        <f>I11*O11</f>
        <v>5068000</v>
      </c>
      <c r="R11" s="74"/>
    </row>
    <row r="12" spans="1:18" s="75" customFormat="1" ht="18.2" customHeight="1">
      <c r="A12" s="308"/>
      <c r="B12" s="279"/>
      <c r="C12" s="279"/>
      <c r="D12" s="343"/>
      <c r="E12" s="343"/>
      <c r="F12" s="359"/>
      <c r="G12" s="345"/>
      <c r="H12" s="133" t="s">
        <v>86</v>
      </c>
      <c r="I12" s="134">
        <v>1267000</v>
      </c>
      <c r="J12" s="135">
        <v>1</v>
      </c>
      <c r="K12" s="136" t="s">
        <v>77</v>
      </c>
      <c r="L12" s="137" t="s">
        <v>0</v>
      </c>
      <c r="M12" s="138">
        <v>0.85</v>
      </c>
      <c r="N12" s="137" t="s">
        <v>0</v>
      </c>
      <c r="O12" s="139">
        <v>2</v>
      </c>
      <c r="P12" s="136" t="s">
        <v>183</v>
      </c>
      <c r="Q12" s="140">
        <f>I12*M12*O12</f>
        <v>2153900</v>
      </c>
      <c r="R12" s="74"/>
    </row>
    <row r="13" spans="1:18" s="75" customFormat="1" ht="18.2" customHeight="1">
      <c r="A13" s="308"/>
      <c r="B13" s="279"/>
      <c r="C13" s="279" t="s">
        <v>87</v>
      </c>
      <c r="D13" s="341">
        <v>8669400</v>
      </c>
      <c r="E13" s="341">
        <f>Q13</f>
        <v>8907300</v>
      </c>
      <c r="F13" s="325">
        <f>E13-D13</f>
        <v>237900</v>
      </c>
      <c r="G13" s="367">
        <f>F13/D13</f>
        <v>0.0274413454218285</v>
      </c>
      <c r="H13" s="117" t="s">
        <v>87</v>
      </c>
      <c r="I13" s="118"/>
      <c r="J13" s="119"/>
      <c r="K13" s="120"/>
      <c r="L13" s="121"/>
      <c r="M13" s="141"/>
      <c r="N13" s="121"/>
      <c r="O13" s="122"/>
      <c r="P13" s="120"/>
      <c r="Q13" s="123">
        <f>SUM(Q14:Q21)</f>
        <v>8907300</v>
      </c>
      <c r="R13" s="74"/>
    </row>
    <row r="14" spans="1:18" s="75" customFormat="1" ht="18.2" customHeight="1">
      <c r="A14" s="308"/>
      <c r="B14" s="279"/>
      <c r="C14" s="279"/>
      <c r="D14" s="342"/>
      <c r="E14" s="342"/>
      <c r="F14" s="344"/>
      <c r="G14" s="344"/>
      <c r="H14" s="117" t="s">
        <v>203</v>
      </c>
      <c r="I14" s="118">
        <f>I9</f>
        <v>1267000</v>
      </c>
      <c r="J14" s="119">
        <v>1</v>
      </c>
      <c r="K14" s="120" t="s">
        <v>77</v>
      </c>
      <c r="L14" s="121" t="s">
        <v>0</v>
      </c>
      <c r="M14" s="141">
        <v>0.5</v>
      </c>
      <c r="N14" s="121" t="s">
        <v>0</v>
      </c>
      <c r="O14" s="122">
        <v>2</v>
      </c>
      <c r="P14" s="120" t="s">
        <v>78</v>
      </c>
      <c r="Q14" s="123">
        <f>I14*M14*O14</f>
        <v>1267000</v>
      </c>
      <c r="R14" s="74"/>
    </row>
    <row r="15" spans="1:18" s="75" customFormat="1" ht="18.2" customHeight="1">
      <c r="A15" s="308"/>
      <c r="B15" s="279"/>
      <c r="C15" s="279"/>
      <c r="D15" s="342"/>
      <c r="E15" s="342"/>
      <c r="F15" s="344"/>
      <c r="G15" s="344"/>
      <c r="H15" s="117" t="s">
        <v>196</v>
      </c>
      <c r="I15" s="118">
        <f>I9</f>
        <v>1267000</v>
      </c>
      <c r="J15" s="119">
        <v>1</v>
      </c>
      <c r="K15" s="120" t="s">
        <v>77</v>
      </c>
      <c r="L15" s="121" t="s">
        <v>0</v>
      </c>
      <c r="M15" s="141">
        <v>0.25</v>
      </c>
      <c r="N15" s="121" t="s">
        <v>0</v>
      </c>
      <c r="O15" s="122">
        <v>2</v>
      </c>
      <c r="P15" s="120" t="s">
        <v>78</v>
      </c>
      <c r="Q15" s="123">
        <f>I15*M15*O15</f>
        <v>633500</v>
      </c>
      <c r="R15" s="74"/>
    </row>
    <row r="16" spans="1:18" s="75" customFormat="1" ht="18.2" customHeight="1">
      <c r="A16" s="308"/>
      <c r="B16" s="279"/>
      <c r="C16" s="279"/>
      <c r="D16" s="342"/>
      <c r="E16" s="342"/>
      <c r="F16" s="344"/>
      <c r="G16" s="344"/>
      <c r="H16" s="117" t="s">
        <v>88</v>
      </c>
      <c r="I16" s="118">
        <v>50000</v>
      </c>
      <c r="J16" s="119">
        <v>1</v>
      </c>
      <c r="K16" s="120" t="s">
        <v>77</v>
      </c>
      <c r="L16" s="121" t="s">
        <v>0</v>
      </c>
      <c r="M16" s="121"/>
      <c r="N16" s="132"/>
      <c r="O16" s="142">
        <v>12</v>
      </c>
      <c r="P16" s="120" t="s">
        <v>78</v>
      </c>
      <c r="Q16" s="123">
        <f>I16*O16</f>
        <v>600000</v>
      </c>
      <c r="R16" s="74"/>
    </row>
    <row r="17" spans="1:18" s="75" customFormat="1" ht="18.2" customHeight="1">
      <c r="A17" s="308"/>
      <c r="B17" s="279"/>
      <c r="C17" s="279"/>
      <c r="D17" s="342"/>
      <c r="E17" s="342"/>
      <c r="F17" s="344"/>
      <c r="G17" s="344"/>
      <c r="H17" s="117" t="s">
        <v>89</v>
      </c>
      <c r="I17" s="118">
        <v>30000</v>
      </c>
      <c r="J17" s="119">
        <v>1</v>
      </c>
      <c r="K17" s="120" t="s">
        <v>77</v>
      </c>
      <c r="L17" s="121" t="s">
        <v>0</v>
      </c>
      <c r="M17" s="121"/>
      <c r="N17" s="132"/>
      <c r="O17" s="142">
        <v>12</v>
      </c>
      <c r="P17" s="120" t="s">
        <v>78</v>
      </c>
      <c r="Q17" s="123">
        <f>I17*O17</f>
        <v>360000</v>
      </c>
      <c r="R17" s="74"/>
    </row>
    <row r="18" spans="1:18" s="75" customFormat="1" ht="18.2" customHeight="1">
      <c r="A18" s="308"/>
      <c r="B18" s="279"/>
      <c r="C18" s="279"/>
      <c r="D18" s="342"/>
      <c r="E18" s="342"/>
      <c r="F18" s="344"/>
      <c r="G18" s="344"/>
      <c r="H18" s="117" t="s">
        <v>90</v>
      </c>
      <c r="I18" s="118">
        <v>290000</v>
      </c>
      <c r="J18" s="119">
        <v>1</v>
      </c>
      <c r="K18" s="120" t="s">
        <v>77</v>
      </c>
      <c r="L18" s="121" t="s">
        <v>0</v>
      </c>
      <c r="M18" s="121"/>
      <c r="N18" s="132"/>
      <c r="O18" s="142">
        <v>12</v>
      </c>
      <c r="P18" s="120" t="s">
        <v>78</v>
      </c>
      <c r="Q18" s="123">
        <f>I18*O18</f>
        <v>3480000</v>
      </c>
      <c r="R18" s="74"/>
    </row>
    <row r="19" spans="1:18" s="75" customFormat="1" ht="18.2" customHeight="1">
      <c r="A19" s="308"/>
      <c r="B19" s="279"/>
      <c r="C19" s="279"/>
      <c r="D19" s="342"/>
      <c r="E19" s="342"/>
      <c r="F19" s="344"/>
      <c r="G19" s="344"/>
      <c r="H19" s="117" t="s">
        <v>173</v>
      </c>
      <c r="I19" s="118">
        <v>30000</v>
      </c>
      <c r="J19" s="119">
        <v>1</v>
      </c>
      <c r="K19" s="120" t="s">
        <v>174</v>
      </c>
      <c r="L19" s="121" t="s">
        <v>0</v>
      </c>
      <c r="M19" s="121"/>
      <c r="N19" s="132"/>
      <c r="O19" s="142">
        <v>12</v>
      </c>
      <c r="P19" s="120" t="s">
        <v>175</v>
      </c>
      <c r="Q19" s="123">
        <f>I19*O19</f>
        <v>360000</v>
      </c>
      <c r="R19" s="74"/>
    </row>
    <row r="20" spans="1:18" s="75" customFormat="1" ht="18.2" customHeight="1">
      <c r="A20" s="308"/>
      <c r="B20" s="279"/>
      <c r="C20" s="279"/>
      <c r="D20" s="342"/>
      <c r="E20" s="342"/>
      <c r="F20" s="344"/>
      <c r="G20" s="344"/>
      <c r="H20" s="117" t="s">
        <v>208</v>
      </c>
      <c r="I20" s="118">
        <v>70000</v>
      </c>
      <c r="J20" s="119">
        <v>1</v>
      </c>
      <c r="K20" s="120" t="s">
        <v>1</v>
      </c>
      <c r="L20" s="121" t="s">
        <v>0</v>
      </c>
      <c r="N20" s="132"/>
      <c r="O20" s="142">
        <v>12</v>
      </c>
      <c r="P20" s="120" t="s">
        <v>2</v>
      </c>
      <c r="Q20" s="123">
        <f>I20*O20</f>
        <v>840000</v>
      </c>
      <c r="R20" s="74"/>
    </row>
    <row r="21" spans="1:18" s="75" customFormat="1" ht="18.2" customHeight="1">
      <c r="A21" s="308"/>
      <c r="B21" s="279"/>
      <c r="C21" s="279"/>
      <c r="D21" s="343"/>
      <c r="E21" s="343"/>
      <c r="F21" s="345"/>
      <c r="G21" s="345"/>
      <c r="H21" s="117" t="s">
        <v>192</v>
      </c>
      <c r="I21" s="118">
        <f>I9+I18+I19</f>
        <v>1587000</v>
      </c>
      <c r="J21" s="119">
        <v>1</v>
      </c>
      <c r="K21" s="120" t="s">
        <v>77</v>
      </c>
      <c r="L21" s="121" t="s">
        <v>0</v>
      </c>
      <c r="M21" s="75">
        <v>10</v>
      </c>
      <c r="N21" s="132" t="s">
        <v>193</v>
      </c>
      <c r="O21" s="142">
        <v>12</v>
      </c>
      <c r="P21" s="120" t="s">
        <v>78</v>
      </c>
      <c r="Q21" s="123">
        <f>ROUND((I21)*1/209*1.5,-1)*M21*O21</f>
        <v>1366800</v>
      </c>
      <c r="R21" s="74"/>
    </row>
    <row r="22" spans="1:18" s="75" customFormat="1" ht="18.2" customHeight="1">
      <c r="A22" s="308"/>
      <c r="B22" s="279"/>
      <c r="C22" s="48" t="s">
        <v>91</v>
      </c>
      <c r="D22" s="113">
        <v>2368090</v>
      </c>
      <c r="E22" s="113">
        <f>Q22</f>
        <v>2611100</v>
      </c>
      <c r="F22" s="83">
        <f>E22-D22</f>
        <v>243010</v>
      </c>
      <c r="G22" s="180">
        <f>F22/D22</f>
        <v>0.10261856601733887</v>
      </c>
      <c r="H22" s="87" t="s">
        <v>91</v>
      </c>
      <c r="I22" s="114">
        <f>Q9+Q10+Q13</f>
        <v>31333200</v>
      </c>
      <c r="J22" s="79"/>
      <c r="K22" s="78"/>
      <c r="L22" s="79" t="s">
        <v>0</v>
      </c>
      <c r="M22" s="143">
        <v>0.0833333333333333</v>
      </c>
      <c r="N22" s="114"/>
      <c r="O22" s="144"/>
      <c r="P22" s="115"/>
      <c r="Q22" s="116">
        <f>ROUNDUP(I22*M22,-1)</f>
        <v>2611100</v>
      </c>
      <c r="R22" s="74"/>
    </row>
    <row r="23" spans="1:18" s="75" customFormat="1" ht="18.2" customHeight="1">
      <c r="A23" s="308"/>
      <c r="B23" s="279"/>
      <c r="C23" s="360" t="s">
        <v>92</v>
      </c>
      <c r="D23" s="163">
        <v>2288230</v>
      </c>
      <c r="E23" s="163">
        <f>SUM(Q23:Q27)</f>
        <v>2840760</v>
      </c>
      <c r="F23" s="164">
        <f>E23-D23</f>
        <v>552530</v>
      </c>
      <c r="G23" s="258">
        <f>F23/D23</f>
        <v>0.2414661113611831</v>
      </c>
      <c r="H23" s="117" t="s">
        <v>93</v>
      </c>
      <c r="I23" s="118">
        <f>I22-Q20</f>
        <v>30493200</v>
      </c>
      <c r="J23" s="145"/>
      <c r="K23" s="132"/>
      <c r="L23" s="121" t="s">
        <v>0</v>
      </c>
      <c r="M23" s="146"/>
      <c r="N23" s="118"/>
      <c r="O23" s="147">
        <v>0.02995</v>
      </c>
      <c r="P23" s="120"/>
      <c r="Q23" s="123">
        <f>ROUNDUP(I23*O23,-1)</f>
        <v>913280</v>
      </c>
      <c r="R23" s="74"/>
    </row>
    <row r="24" spans="1:18" s="75" customFormat="1" ht="18.2" customHeight="1">
      <c r="A24" s="308"/>
      <c r="B24" s="279"/>
      <c r="C24" s="361"/>
      <c r="D24" s="166"/>
      <c r="E24" s="166"/>
      <c r="F24" s="167"/>
      <c r="G24" s="168"/>
      <c r="H24" s="117" t="s">
        <v>94</v>
      </c>
      <c r="I24" s="118">
        <f>Q23</f>
        <v>913280</v>
      </c>
      <c r="J24" s="145"/>
      <c r="K24" s="132"/>
      <c r="L24" s="121" t="s">
        <v>0</v>
      </c>
      <c r="M24" s="146"/>
      <c r="N24" s="118"/>
      <c r="O24" s="148">
        <v>0.0655</v>
      </c>
      <c r="P24" s="120"/>
      <c r="Q24" s="123">
        <f>ROUNDUP(I24*O24,-1)</f>
        <v>59820</v>
      </c>
      <c r="R24" s="74"/>
    </row>
    <row r="25" spans="1:18" s="75" customFormat="1" ht="18.2" customHeight="1">
      <c r="A25" s="308"/>
      <c r="B25" s="279"/>
      <c r="C25" s="361"/>
      <c r="D25" s="166"/>
      <c r="E25" s="166"/>
      <c r="F25" s="169"/>
      <c r="G25" s="169"/>
      <c r="H25" s="117" t="s">
        <v>95</v>
      </c>
      <c r="I25" s="118">
        <f>I22-Q20</f>
        <v>30493200</v>
      </c>
      <c r="J25" s="145"/>
      <c r="K25" s="132"/>
      <c r="L25" s="121" t="s">
        <v>0</v>
      </c>
      <c r="M25" s="148"/>
      <c r="N25" s="118"/>
      <c r="O25" s="147">
        <v>0.045</v>
      </c>
      <c r="P25" s="120"/>
      <c r="Q25" s="123">
        <f>ROUNDUP(I25*O25,-1)</f>
        <v>1372200</v>
      </c>
      <c r="R25" s="74"/>
    </row>
    <row r="26" spans="1:18" s="75" customFormat="1" ht="18.2" customHeight="1">
      <c r="A26" s="308"/>
      <c r="B26" s="279"/>
      <c r="C26" s="361"/>
      <c r="D26" s="166"/>
      <c r="E26" s="166"/>
      <c r="F26" s="169"/>
      <c r="G26" s="169"/>
      <c r="H26" s="117" t="s">
        <v>96</v>
      </c>
      <c r="I26" s="118">
        <f>I22</f>
        <v>31333200</v>
      </c>
      <c r="J26" s="145"/>
      <c r="K26" s="132"/>
      <c r="L26" s="121" t="s">
        <v>0</v>
      </c>
      <c r="M26" s="148"/>
      <c r="N26" s="118"/>
      <c r="O26" s="148">
        <v>0.009</v>
      </c>
      <c r="P26" s="120"/>
      <c r="Q26" s="123">
        <f>ROUNDUP(I26*O26,-1)</f>
        <v>282000</v>
      </c>
      <c r="R26" s="74"/>
    </row>
    <row r="27" spans="1:18" s="75" customFormat="1" ht="18.2" customHeight="1">
      <c r="A27" s="306"/>
      <c r="B27" s="284"/>
      <c r="C27" s="362"/>
      <c r="D27" s="166"/>
      <c r="E27" s="166"/>
      <c r="F27" s="169"/>
      <c r="G27" s="169"/>
      <c r="H27" s="117" t="s">
        <v>97</v>
      </c>
      <c r="I27" s="118">
        <f>I22-Q20</f>
        <v>30493200</v>
      </c>
      <c r="J27" s="145"/>
      <c r="K27" s="132"/>
      <c r="L27" s="121" t="s">
        <v>0</v>
      </c>
      <c r="M27" s="148"/>
      <c r="N27" s="118"/>
      <c r="O27" s="148">
        <v>0.007</v>
      </c>
      <c r="P27" s="120"/>
      <c r="Q27" s="123">
        <f>ROUNDUP(I27*O27,-1)</f>
        <v>213460</v>
      </c>
      <c r="R27" s="74"/>
    </row>
    <row r="28" spans="1:18" s="75" customFormat="1" ht="18.2" customHeight="1">
      <c r="A28" s="309"/>
      <c r="B28" s="310"/>
      <c r="C28" s="171" t="s">
        <v>176</v>
      </c>
      <c r="D28" s="172">
        <v>83100</v>
      </c>
      <c r="E28" s="172">
        <f>Q28</f>
        <v>100000</v>
      </c>
      <c r="F28" s="49">
        <f>E28-D28</f>
        <v>16900</v>
      </c>
      <c r="G28" s="170">
        <f>F28/D28</f>
        <v>0.20336943441636582</v>
      </c>
      <c r="H28" s="173" t="s">
        <v>176</v>
      </c>
      <c r="I28" s="149"/>
      <c r="J28" s="153"/>
      <c r="K28" s="174"/>
      <c r="L28" s="95"/>
      <c r="M28" s="175"/>
      <c r="N28" s="149"/>
      <c r="O28" s="175"/>
      <c r="P28" s="150"/>
      <c r="Q28" s="151">
        <v>100000</v>
      </c>
      <c r="R28" s="74"/>
    </row>
    <row r="29" spans="1:18" s="197" customFormat="1" ht="18.75" customHeight="1">
      <c r="A29" s="336" t="s">
        <v>65</v>
      </c>
      <c r="B29" s="327" t="s">
        <v>68</v>
      </c>
      <c r="C29" s="187" t="s">
        <v>66</v>
      </c>
      <c r="D29" s="188">
        <f>D30+D31</f>
        <v>200000</v>
      </c>
      <c r="E29" s="188">
        <f>E30+E31</f>
        <v>150000</v>
      </c>
      <c r="F29" s="189">
        <f>F30+F31</f>
        <v>-50000</v>
      </c>
      <c r="G29" s="190">
        <f>F29/D29</f>
        <v>-0.25</v>
      </c>
      <c r="H29" s="191" t="s">
        <v>68</v>
      </c>
      <c r="I29" s="192"/>
      <c r="J29" s="192"/>
      <c r="K29" s="192"/>
      <c r="L29" s="192"/>
      <c r="M29" s="192"/>
      <c r="N29" s="192"/>
      <c r="O29" s="193"/>
      <c r="P29" s="194"/>
      <c r="Q29" s="195">
        <f>Q30+Q31</f>
        <v>150000</v>
      </c>
      <c r="R29" s="196"/>
    </row>
    <row r="30" spans="1:18" s="197" customFormat="1" ht="18.75" customHeight="1">
      <c r="A30" s="337"/>
      <c r="B30" s="328"/>
      <c r="C30" s="255" t="s">
        <v>98</v>
      </c>
      <c r="D30" s="199">
        <v>150000</v>
      </c>
      <c r="E30" s="199">
        <f>Q30</f>
        <v>150000</v>
      </c>
      <c r="F30" s="200">
        <f>E30-D30</f>
        <v>0</v>
      </c>
      <c r="G30" s="190"/>
      <c r="H30" s="256" t="s">
        <v>99</v>
      </c>
      <c r="I30" s="209"/>
      <c r="J30" s="209"/>
      <c r="K30" s="209"/>
      <c r="L30" s="209"/>
      <c r="M30" s="209"/>
      <c r="N30" s="209"/>
      <c r="O30" s="210"/>
      <c r="P30" s="211"/>
      <c r="Q30" s="212">
        <v>150000</v>
      </c>
      <c r="R30" s="196"/>
    </row>
    <row r="31" spans="1:18" s="197" customFormat="1" ht="18.75" customHeight="1">
      <c r="A31" s="338"/>
      <c r="B31" s="329"/>
      <c r="C31" s="198" t="s">
        <v>185</v>
      </c>
      <c r="D31" s="199">
        <v>50000</v>
      </c>
      <c r="E31" s="199">
        <f>Q31</f>
        <v>0</v>
      </c>
      <c r="F31" s="200">
        <f aca="true" t="shared" si="0" ref="F31:F37">E31-D31</f>
        <v>-50000</v>
      </c>
      <c r="G31" s="165"/>
      <c r="H31" s="208" t="s">
        <v>99</v>
      </c>
      <c r="I31" s="209"/>
      <c r="J31" s="209"/>
      <c r="K31" s="209"/>
      <c r="L31" s="209"/>
      <c r="M31" s="209"/>
      <c r="N31" s="209"/>
      <c r="O31" s="210"/>
      <c r="P31" s="211"/>
      <c r="Q31" s="212"/>
      <c r="R31" s="196"/>
    </row>
    <row r="32" spans="1:18" s="197" customFormat="1" ht="18.75" customHeight="1">
      <c r="A32" s="338"/>
      <c r="B32" s="329" t="s">
        <v>69</v>
      </c>
      <c r="C32" s="198" t="s">
        <v>66</v>
      </c>
      <c r="D32" s="199">
        <f>+D33+D34+D35+D36+D37</f>
        <v>4407570</v>
      </c>
      <c r="E32" s="199">
        <f>+E33+E34+E37+E35+E36</f>
        <v>4269000</v>
      </c>
      <c r="F32" s="200">
        <f t="shared" si="0"/>
        <v>-138570</v>
      </c>
      <c r="G32" s="190">
        <f>F32/D32</f>
        <v>-0.03143909228894833</v>
      </c>
      <c r="H32" s="208" t="s">
        <v>100</v>
      </c>
      <c r="I32" s="209"/>
      <c r="J32" s="209"/>
      <c r="K32" s="209"/>
      <c r="L32" s="209"/>
      <c r="M32" s="209"/>
      <c r="N32" s="209"/>
      <c r="O32" s="210"/>
      <c r="P32" s="211"/>
      <c r="Q32" s="212">
        <f>SUM(Q33:Q37)</f>
        <v>4269000</v>
      </c>
      <c r="R32" s="196"/>
    </row>
    <row r="33" spans="1:18" s="197" customFormat="1" ht="18.75" customHeight="1">
      <c r="A33" s="338"/>
      <c r="B33" s="329"/>
      <c r="C33" s="198" t="s">
        <v>101</v>
      </c>
      <c r="D33" s="199">
        <v>120000</v>
      </c>
      <c r="E33" s="213">
        <f>Q33</f>
        <v>120000</v>
      </c>
      <c r="F33" s="200">
        <f t="shared" si="0"/>
        <v>0</v>
      </c>
      <c r="G33" s="190"/>
      <c r="H33" s="208" t="s">
        <v>88</v>
      </c>
      <c r="I33" s="209"/>
      <c r="J33" s="209"/>
      <c r="K33" s="209"/>
      <c r="L33" s="209"/>
      <c r="M33" s="214"/>
      <c r="N33" s="209"/>
      <c r="O33" s="210"/>
      <c r="P33" s="211"/>
      <c r="Q33" s="212">
        <v>120000</v>
      </c>
      <c r="R33" s="196"/>
    </row>
    <row r="34" spans="1:18" s="197" customFormat="1" ht="18.75" customHeight="1">
      <c r="A34" s="338"/>
      <c r="B34" s="329"/>
      <c r="C34" s="198" t="s">
        <v>102</v>
      </c>
      <c r="D34" s="199">
        <v>1639000</v>
      </c>
      <c r="E34" s="213">
        <f>Q34</f>
        <v>1229000</v>
      </c>
      <c r="F34" s="200">
        <f t="shared" si="0"/>
        <v>-410000</v>
      </c>
      <c r="G34" s="190">
        <f aca="true" t="shared" si="1" ref="G34:G37">F34/D34</f>
        <v>-0.25015253203172666</v>
      </c>
      <c r="H34" s="208" t="s">
        <v>130</v>
      </c>
      <c r="I34" s="209"/>
      <c r="J34" s="209"/>
      <c r="K34" s="209"/>
      <c r="L34" s="209"/>
      <c r="M34" s="214"/>
      <c r="N34" s="209"/>
      <c r="O34" s="210"/>
      <c r="P34" s="211"/>
      <c r="Q34" s="212">
        <v>1229000</v>
      </c>
      <c r="R34" s="196"/>
    </row>
    <row r="35" spans="1:18" s="197" customFormat="1" ht="18.75" customHeight="1">
      <c r="A35" s="338"/>
      <c r="B35" s="329"/>
      <c r="C35" s="198" t="s">
        <v>103</v>
      </c>
      <c r="D35" s="199">
        <v>2595000</v>
      </c>
      <c r="E35" s="213">
        <f>Q35</f>
        <v>2700000</v>
      </c>
      <c r="F35" s="200">
        <f t="shared" si="0"/>
        <v>105000</v>
      </c>
      <c r="G35" s="190">
        <f t="shared" si="1"/>
        <v>0.04046242774566474</v>
      </c>
      <c r="H35" s="339" t="s">
        <v>128</v>
      </c>
      <c r="I35" s="340"/>
      <c r="J35" s="209"/>
      <c r="K35" s="209"/>
      <c r="L35" s="209"/>
      <c r="M35" s="209"/>
      <c r="N35" s="209"/>
      <c r="O35" s="210"/>
      <c r="P35" s="211"/>
      <c r="Q35" s="212">
        <v>2700000</v>
      </c>
      <c r="R35" s="196"/>
    </row>
    <row r="36" spans="1:18" s="197" customFormat="1" ht="18.75" customHeight="1">
      <c r="A36" s="338"/>
      <c r="B36" s="329"/>
      <c r="C36" s="198" t="s">
        <v>104</v>
      </c>
      <c r="D36" s="199">
        <v>23570</v>
      </c>
      <c r="E36" s="213">
        <f>Q36</f>
        <v>20000</v>
      </c>
      <c r="F36" s="200">
        <f t="shared" si="0"/>
        <v>-3570</v>
      </c>
      <c r="G36" s="190">
        <f t="shared" si="1"/>
        <v>-0.15146372507424694</v>
      </c>
      <c r="H36" s="339" t="s">
        <v>105</v>
      </c>
      <c r="I36" s="340"/>
      <c r="J36" s="209"/>
      <c r="K36" s="209"/>
      <c r="L36" s="209"/>
      <c r="M36" s="209"/>
      <c r="N36" s="209"/>
      <c r="O36" s="210"/>
      <c r="P36" s="211"/>
      <c r="Q36" s="212">
        <v>20000</v>
      </c>
      <c r="R36" s="196"/>
    </row>
    <row r="37" spans="1:18" s="197" customFormat="1" ht="18.75" customHeight="1">
      <c r="A37" s="338"/>
      <c r="B37" s="329"/>
      <c r="C37" s="198" t="s">
        <v>178</v>
      </c>
      <c r="D37" s="199">
        <v>30000</v>
      </c>
      <c r="E37" s="199">
        <f aca="true" t="shared" si="2" ref="E37">Q37</f>
        <v>200000</v>
      </c>
      <c r="F37" s="200">
        <f t="shared" si="0"/>
        <v>170000</v>
      </c>
      <c r="G37" s="190">
        <f t="shared" si="1"/>
        <v>5.666666666666667</v>
      </c>
      <c r="H37" s="215" t="s">
        <v>179</v>
      </c>
      <c r="I37" s="209">
        <v>50000</v>
      </c>
      <c r="J37" s="214" t="s">
        <v>0</v>
      </c>
      <c r="K37" s="210">
        <v>4</v>
      </c>
      <c r="L37" s="211" t="s">
        <v>180</v>
      </c>
      <c r="M37" s="214"/>
      <c r="N37" s="209"/>
      <c r="O37" s="210"/>
      <c r="P37" s="211"/>
      <c r="Q37" s="212">
        <f>I37*K37</f>
        <v>200000</v>
      </c>
      <c r="R37" s="196"/>
    </row>
    <row r="38" spans="1:18" s="197" customFormat="1" ht="18.75" customHeight="1">
      <c r="A38" s="352" t="s">
        <v>106</v>
      </c>
      <c r="B38" s="329" t="s">
        <v>76</v>
      </c>
      <c r="C38" s="329"/>
      <c r="D38" s="216">
        <f>D39</f>
        <v>0</v>
      </c>
      <c r="E38" s="216">
        <f>E39</f>
        <v>200000</v>
      </c>
      <c r="F38" s="200">
        <f aca="true" t="shared" si="3" ref="F38:F65">E38-D38</f>
        <v>200000</v>
      </c>
      <c r="G38" s="190"/>
      <c r="H38" s="208" t="s">
        <v>107</v>
      </c>
      <c r="I38" s="209"/>
      <c r="J38" s="209"/>
      <c r="K38" s="209"/>
      <c r="L38" s="209"/>
      <c r="M38" s="209"/>
      <c r="N38" s="209"/>
      <c r="O38" s="209"/>
      <c r="P38" s="211"/>
      <c r="Q38" s="212">
        <f>Q39</f>
        <v>200000</v>
      </c>
      <c r="R38" s="196"/>
    </row>
    <row r="39" spans="1:18" s="197" customFormat="1" ht="18.75" customHeight="1">
      <c r="A39" s="352"/>
      <c r="B39" s="329" t="s">
        <v>70</v>
      </c>
      <c r="C39" s="198" t="s">
        <v>66</v>
      </c>
      <c r="D39" s="216">
        <f>SUM(D40:D41)</f>
        <v>0</v>
      </c>
      <c r="E39" s="216">
        <f>SUM(E40:E41)</f>
        <v>200000</v>
      </c>
      <c r="F39" s="200">
        <f t="shared" si="3"/>
        <v>200000</v>
      </c>
      <c r="G39" s="190"/>
      <c r="H39" s="208" t="s">
        <v>107</v>
      </c>
      <c r="I39" s="209"/>
      <c r="J39" s="209"/>
      <c r="K39" s="209"/>
      <c r="L39" s="209"/>
      <c r="M39" s="209"/>
      <c r="N39" s="209"/>
      <c r="O39" s="209"/>
      <c r="P39" s="211"/>
      <c r="Q39" s="212">
        <f>Q40+Q41</f>
        <v>200000</v>
      </c>
      <c r="R39" s="196"/>
    </row>
    <row r="40" spans="1:18" s="197" customFormat="1" ht="18.75" customHeight="1">
      <c r="A40" s="352"/>
      <c r="B40" s="329"/>
      <c r="C40" s="198" t="s">
        <v>71</v>
      </c>
      <c r="D40" s="199"/>
      <c r="E40" s="199">
        <f>Q40</f>
        <v>200000</v>
      </c>
      <c r="F40" s="200">
        <f t="shared" si="3"/>
        <v>200000</v>
      </c>
      <c r="G40" s="190"/>
      <c r="H40" s="208" t="s">
        <v>108</v>
      </c>
      <c r="I40" s="209"/>
      <c r="J40" s="209"/>
      <c r="K40" s="209"/>
      <c r="L40" s="209"/>
      <c r="M40" s="209"/>
      <c r="N40" s="209"/>
      <c r="O40" s="209"/>
      <c r="P40" s="211"/>
      <c r="Q40" s="212">
        <v>200000</v>
      </c>
      <c r="R40" s="196"/>
    </row>
    <row r="41" spans="1:18" s="197" customFormat="1" ht="18.75" customHeight="1">
      <c r="A41" s="352"/>
      <c r="B41" s="329"/>
      <c r="C41" s="198" t="s">
        <v>72</v>
      </c>
      <c r="D41" s="199"/>
      <c r="E41" s="199">
        <f>Q41</f>
        <v>0</v>
      </c>
      <c r="F41" s="217">
        <f t="shared" si="3"/>
        <v>0</v>
      </c>
      <c r="G41" s="190"/>
      <c r="H41" s="208" t="s">
        <v>109</v>
      </c>
      <c r="I41" s="209"/>
      <c r="J41" s="209"/>
      <c r="K41" s="209"/>
      <c r="L41" s="209"/>
      <c r="M41" s="209"/>
      <c r="N41" s="209"/>
      <c r="O41" s="210"/>
      <c r="P41" s="211"/>
      <c r="Q41" s="212"/>
      <c r="R41" s="196"/>
    </row>
    <row r="42" spans="1:18" s="197" customFormat="1" ht="18.75" customHeight="1">
      <c r="A42" s="330" t="s">
        <v>55</v>
      </c>
      <c r="B42" s="329" t="s">
        <v>76</v>
      </c>
      <c r="C42" s="329"/>
      <c r="D42" s="216">
        <f>SUM(D43,D46)</f>
        <v>8750000</v>
      </c>
      <c r="E42" s="216">
        <f>SUM(E43,E46)</f>
        <v>10940000</v>
      </c>
      <c r="F42" s="200">
        <f t="shared" si="3"/>
        <v>2190000</v>
      </c>
      <c r="G42" s="190">
        <f aca="true" t="shared" si="4" ref="G42:G53">F42/D42</f>
        <v>0.2502857142857143</v>
      </c>
      <c r="H42" s="208" t="s">
        <v>55</v>
      </c>
      <c r="I42" s="209"/>
      <c r="J42" s="209"/>
      <c r="K42" s="209"/>
      <c r="L42" s="209"/>
      <c r="M42" s="209"/>
      <c r="N42" s="209"/>
      <c r="O42" s="210"/>
      <c r="P42" s="211"/>
      <c r="Q42" s="212">
        <f>Q43+Q46</f>
        <v>10940000</v>
      </c>
      <c r="R42" s="196"/>
    </row>
    <row r="43" spans="1:18" s="197" customFormat="1" ht="18.75" customHeight="1">
      <c r="A43" s="331"/>
      <c r="B43" s="329" t="s">
        <v>100</v>
      </c>
      <c r="C43" s="198" t="s">
        <v>66</v>
      </c>
      <c r="D43" s="216">
        <f>SUM(D44:D45)</f>
        <v>6400000</v>
      </c>
      <c r="E43" s="216">
        <f>SUM(E44:E45)</f>
        <v>8740000</v>
      </c>
      <c r="F43" s="200">
        <f t="shared" si="3"/>
        <v>2340000</v>
      </c>
      <c r="G43" s="190">
        <f t="shared" si="4"/>
        <v>0.365625</v>
      </c>
      <c r="H43" s="208" t="s">
        <v>100</v>
      </c>
      <c r="I43" s="209"/>
      <c r="J43" s="209"/>
      <c r="K43" s="209"/>
      <c r="L43" s="209"/>
      <c r="M43" s="209"/>
      <c r="N43" s="209"/>
      <c r="O43" s="210"/>
      <c r="P43" s="211"/>
      <c r="Q43" s="212">
        <f>SUM(Q44:Q45)</f>
        <v>8740000</v>
      </c>
      <c r="R43" s="196"/>
    </row>
    <row r="44" spans="1:18" s="197" customFormat="1" ht="18.75" customHeight="1">
      <c r="A44" s="331"/>
      <c r="B44" s="329"/>
      <c r="C44" s="198" t="s">
        <v>110</v>
      </c>
      <c r="D44" s="199">
        <v>6300000</v>
      </c>
      <c r="E44" s="199">
        <f>Q44</f>
        <v>8640000</v>
      </c>
      <c r="F44" s="200">
        <f aca="true" t="shared" si="5" ref="F44">E44-D44</f>
        <v>2340000</v>
      </c>
      <c r="G44" s="190">
        <f t="shared" si="4"/>
        <v>0.37142857142857144</v>
      </c>
      <c r="H44" s="208" t="s">
        <v>111</v>
      </c>
      <c r="I44" s="209"/>
      <c r="J44" s="210"/>
      <c r="K44" s="218"/>
      <c r="L44" s="209"/>
      <c r="M44" s="214"/>
      <c r="N44" s="209"/>
      <c r="O44" s="210"/>
      <c r="P44" s="211"/>
      <c r="Q44" s="212">
        <v>8640000</v>
      </c>
      <c r="R44" s="196"/>
    </row>
    <row r="45" spans="1:18" s="197" customFormat="1" ht="18.75" customHeight="1">
      <c r="A45" s="331"/>
      <c r="B45" s="329"/>
      <c r="C45" s="219" t="s">
        <v>126</v>
      </c>
      <c r="D45" s="220">
        <v>100000</v>
      </c>
      <c r="E45" s="220">
        <f>Q45</f>
        <v>100000</v>
      </c>
      <c r="F45" s="221">
        <f>E45-D45</f>
        <v>0</v>
      </c>
      <c r="G45" s="190"/>
      <c r="H45" s="222" t="s">
        <v>127</v>
      </c>
      <c r="I45" s="202">
        <v>50000</v>
      </c>
      <c r="J45" s="205" t="s">
        <v>0</v>
      </c>
      <c r="K45" s="206">
        <v>2</v>
      </c>
      <c r="L45" s="204" t="s">
        <v>114</v>
      </c>
      <c r="M45" s="205"/>
      <c r="N45" s="202"/>
      <c r="O45" s="206"/>
      <c r="P45" s="204"/>
      <c r="Q45" s="212">
        <f aca="true" t="shared" si="6" ref="Q45:Q53">I45*K45</f>
        <v>100000</v>
      </c>
      <c r="R45" s="196"/>
    </row>
    <row r="46" spans="1:18" s="197" customFormat="1" ht="18.75" customHeight="1">
      <c r="A46" s="331"/>
      <c r="B46" s="333" t="s">
        <v>55</v>
      </c>
      <c r="C46" s="198" t="s">
        <v>66</v>
      </c>
      <c r="D46" s="216">
        <f>SUM(D47:D53)</f>
        <v>2350000</v>
      </c>
      <c r="E46" s="216">
        <f>SUM(E47:E53)</f>
        <v>2200000</v>
      </c>
      <c r="F46" s="200">
        <f t="shared" si="3"/>
        <v>-150000</v>
      </c>
      <c r="G46" s="190">
        <f t="shared" si="4"/>
        <v>-0.06382978723404255</v>
      </c>
      <c r="H46" s="208" t="s">
        <v>55</v>
      </c>
      <c r="I46" s="209"/>
      <c r="J46" s="210"/>
      <c r="K46" s="218"/>
      <c r="L46" s="209"/>
      <c r="M46" s="209"/>
      <c r="N46" s="209"/>
      <c r="O46" s="210"/>
      <c r="P46" s="211"/>
      <c r="Q46" s="212">
        <f>SUM(Q47:Q53)</f>
        <v>2200000</v>
      </c>
      <c r="R46" s="196"/>
    </row>
    <row r="47" spans="1:18" s="197" customFormat="1" ht="18.75" customHeight="1">
      <c r="A47" s="331"/>
      <c r="B47" s="334"/>
      <c r="C47" s="198" t="s">
        <v>112</v>
      </c>
      <c r="D47" s="199">
        <v>250000</v>
      </c>
      <c r="E47" s="199">
        <f aca="true" t="shared" si="7" ref="E47:E52">Q47</f>
        <v>150000</v>
      </c>
      <c r="F47" s="200">
        <f>E47-D47</f>
        <v>-100000</v>
      </c>
      <c r="G47" s="190">
        <f t="shared" si="4"/>
        <v>-0.4</v>
      </c>
      <c r="H47" s="208" t="s">
        <v>113</v>
      </c>
      <c r="I47" s="209">
        <v>50000</v>
      </c>
      <c r="J47" s="214" t="s">
        <v>0</v>
      </c>
      <c r="K47" s="210">
        <v>3</v>
      </c>
      <c r="L47" s="211" t="s">
        <v>114</v>
      </c>
      <c r="M47" s="214"/>
      <c r="N47" s="209"/>
      <c r="O47" s="210"/>
      <c r="P47" s="211"/>
      <c r="Q47" s="212">
        <f t="shared" si="6"/>
        <v>150000</v>
      </c>
      <c r="R47" s="196"/>
    </row>
    <row r="48" spans="1:18" s="197" customFormat="1" ht="18.75" customHeight="1">
      <c r="A48" s="331"/>
      <c r="B48" s="334"/>
      <c r="C48" s="198" t="s">
        <v>115</v>
      </c>
      <c r="D48" s="199">
        <v>500000</v>
      </c>
      <c r="E48" s="199">
        <f t="shared" si="7"/>
        <v>450000</v>
      </c>
      <c r="F48" s="200">
        <f t="shared" si="3"/>
        <v>-50000</v>
      </c>
      <c r="G48" s="190">
        <f t="shared" si="4"/>
        <v>-0.1</v>
      </c>
      <c r="H48" s="223" t="s">
        <v>116</v>
      </c>
      <c r="I48" s="209">
        <v>90000</v>
      </c>
      <c r="J48" s="214" t="s">
        <v>0</v>
      </c>
      <c r="K48" s="210">
        <v>5</v>
      </c>
      <c r="L48" s="211" t="s">
        <v>114</v>
      </c>
      <c r="M48" s="214"/>
      <c r="N48" s="209"/>
      <c r="O48" s="210"/>
      <c r="P48" s="211"/>
      <c r="Q48" s="212">
        <f t="shared" si="6"/>
        <v>450000</v>
      </c>
      <c r="R48" s="196"/>
    </row>
    <row r="49" spans="1:18" s="197" customFormat="1" ht="18.75" customHeight="1">
      <c r="A49" s="331"/>
      <c r="B49" s="334"/>
      <c r="C49" s="198" t="s">
        <v>117</v>
      </c>
      <c r="D49" s="199">
        <v>400000</v>
      </c>
      <c r="E49" s="199">
        <f t="shared" si="7"/>
        <v>200000</v>
      </c>
      <c r="F49" s="200">
        <f t="shared" si="3"/>
        <v>-200000</v>
      </c>
      <c r="G49" s="190">
        <f t="shared" si="4"/>
        <v>-0.5</v>
      </c>
      <c r="H49" s="215" t="s">
        <v>118</v>
      </c>
      <c r="I49" s="209">
        <v>50000</v>
      </c>
      <c r="J49" s="214" t="s">
        <v>0</v>
      </c>
      <c r="K49" s="210">
        <v>4</v>
      </c>
      <c r="L49" s="211" t="s">
        <v>114</v>
      </c>
      <c r="M49" s="214"/>
      <c r="N49" s="209"/>
      <c r="O49" s="210"/>
      <c r="P49" s="211"/>
      <c r="Q49" s="212">
        <f t="shared" si="6"/>
        <v>200000</v>
      </c>
      <c r="R49" s="196"/>
    </row>
    <row r="50" spans="1:18" s="197" customFormat="1" ht="18.75" customHeight="1">
      <c r="A50" s="331"/>
      <c r="B50" s="334"/>
      <c r="C50" s="224" t="s">
        <v>119</v>
      </c>
      <c r="D50" s="225">
        <v>250000</v>
      </c>
      <c r="E50" s="225">
        <f>Q50</f>
        <v>200000</v>
      </c>
      <c r="F50" s="226">
        <f t="shared" si="3"/>
        <v>-50000</v>
      </c>
      <c r="G50" s="190">
        <f t="shared" si="4"/>
        <v>-0.2</v>
      </c>
      <c r="H50" s="227" t="s">
        <v>120</v>
      </c>
      <c r="I50" s="228">
        <v>100000</v>
      </c>
      <c r="J50" s="229" t="s">
        <v>0</v>
      </c>
      <c r="K50" s="230">
        <v>2</v>
      </c>
      <c r="L50" s="231" t="s">
        <v>114</v>
      </c>
      <c r="M50" s="229"/>
      <c r="N50" s="228"/>
      <c r="O50" s="230"/>
      <c r="P50" s="231"/>
      <c r="Q50" s="212">
        <f t="shared" si="6"/>
        <v>200000</v>
      </c>
      <c r="R50" s="196"/>
    </row>
    <row r="51" spans="1:18" s="197" customFormat="1" ht="18.75" customHeight="1">
      <c r="A51" s="331"/>
      <c r="B51" s="334"/>
      <c r="C51" s="198" t="s">
        <v>121</v>
      </c>
      <c r="D51" s="199">
        <v>400000</v>
      </c>
      <c r="E51" s="199">
        <f>Q51</f>
        <v>700000</v>
      </c>
      <c r="F51" s="200">
        <f t="shared" si="3"/>
        <v>300000</v>
      </c>
      <c r="G51" s="190">
        <f t="shared" si="4"/>
        <v>0.75</v>
      </c>
      <c r="H51" s="215" t="s">
        <v>122</v>
      </c>
      <c r="I51" s="209">
        <v>100000</v>
      </c>
      <c r="J51" s="214" t="s">
        <v>0</v>
      </c>
      <c r="K51" s="210">
        <v>7</v>
      </c>
      <c r="L51" s="211" t="s">
        <v>114</v>
      </c>
      <c r="M51" s="214"/>
      <c r="N51" s="209"/>
      <c r="O51" s="210"/>
      <c r="P51" s="211"/>
      <c r="Q51" s="212">
        <f t="shared" si="6"/>
        <v>700000</v>
      </c>
      <c r="R51" s="196"/>
    </row>
    <row r="52" spans="1:18" s="197" customFormat="1" ht="18.75" customHeight="1">
      <c r="A52" s="331"/>
      <c r="B52" s="334"/>
      <c r="C52" s="198" t="s">
        <v>123</v>
      </c>
      <c r="D52" s="199">
        <v>100000</v>
      </c>
      <c r="E52" s="199">
        <f t="shared" si="7"/>
        <v>100000</v>
      </c>
      <c r="F52" s="200">
        <f t="shared" si="3"/>
        <v>0</v>
      </c>
      <c r="G52" s="190"/>
      <c r="H52" s="215" t="s">
        <v>129</v>
      </c>
      <c r="I52" s="209">
        <v>25000</v>
      </c>
      <c r="J52" s="214" t="s">
        <v>0</v>
      </c>
      <c r="K52" s="210">
        <v>4</v>
      </c>
      <c r="L52" s="211" t="s">
        <v>114</v>
      </c>
      <c r="M52" s="214"/>
      <c r="N52" s="209"/>
      <c r="O52" s="210"/>
      <c r="P52" s="211"/>
      <c r="Q52" s="212">
        <f>I52*K52</f>
        <v>100000</v>
      </c>
      <c r="R52" s="196"/>
    </row>
    <row r="53" spans="1:18" s="197" customFormat="1" ht="18.75" customHeight="1">
      <c r="A53" s="332"/>
      <c r="B53" s="335"/>
      <c r="C53" s="232" t="s">
        <v>124</v>
      </c>
      <c r="D53" s="233">
        <v>450000</v>
      </c>
      <c r="E53" s="233">
        <f>Q53</f>
        <v>400000</v>
      </c>
      <c r="F53" s="234">
        <f>E53-D53</f>
        <v>-50000</v>
      </c>
      <c r="G53" s="190">
        <f t="shared" si="4"/>
        <v>-0.1111111111111111</v>
      </c>
      <c r="H53" s="236" t="s">
        <v>125</v>
      </c>
      <c r="I53" s="237">
        <v>80000</v>
      </c>
      <c r="J53" s="238" t="s">
        <v>0</v>
      </c>
      <c r="K53" s="239">
        <v>5</v>
      </c>
      <c r="L53" s="240" t="s">
        <v>114</v>
      </c>
      <c r="M53" s="238"/>
      <c r="N53" s="237"/>
      <c r="O53" s="239"/>
      <c r="P53" s="240"/>
      <c r="Q53" s="241">
        <f t="shared" si="6"/>
        <v>400000</v>
      </c>
      <c r="R53" s="196"/>
    </row>
    <row r="54" spans="1:18" s="197" customFormat="1" ht="18.75" customHeight="1">
      <c r="A54" s="348" t="s">
        <v>132</v>
      </c>
      <c r="B54" s="350" t="s">
        <v>5</v>
      </c>
      <c r="C54" s="351"/>
      <c r="D54" s="242">
        <f>D55</f>
        <v>0</v>
      </c>
      <c r="E54" s="242"/>
      <c r="F54" s="243">
        <f t="shared" si="3"/>
        <v>0</v>
      </c>
      <c r="G54" s="244"/>
      <c r="H54" s="245"/>
      <c r="I54" s="192"/>
      <c r="J54" s="246"/>
      <c r="K54" s="193"/>
      <c r="L54" s="194"/>
      <c r="M54" s="246"/>
      <c r="N54" s="192"/>
      <c r="O54" s="193"/>
      <c r="P54" s="194"/>
      <c r="Q54" s="195"/>
      <c r="R54" s="196"/>
    </row>
    <row r="55" spans="1:18" s="197" customFormat="1" ht="18.2" customHeight="1">
      <c r="A55" s="331"/>
      <c r="B55" s="333" t="s">
        <v>132</v>
      </c>
      <c r="C55" s="198" t="s">
        <v>6</v>
      </c>
      <c r="D55" s="199">
        <f>D56</f>
        <v>0</v>
      </c>
      <c r="E55" s="199"/>
      <c r="F55" s="200">
        <f t="shared" si="3"/>
        <v>0</v>
      </c>
      <c r="G55" s="190"/>
      <c r="H55" s="215"/>
      <c r="I55" s="209"/>
      <c r="J55" s="214"/>
      <c r="K55" s="210"/>
      <c r="L55" s="211"/>
      <c r="M55" s="214"/>
      <c r="N55" s="209"/>
      <c r="O55" s="210"/>
      <c r="P55" s="211"/>
      <c r="Q55" s="212"/>
      <c r="R55" s="196"/>
    </row>
    <row r="56" spans="1:18" s="197" customFormat="1" ht="18.2" customHeight="1">
      <c r="A56" s="337"/>
      <c r="B56" s="349"/>
      <c r="C56" s="198" t="s">
        <v>132</v>
      </c>
      <c r="D56" s="199"/>
      <c r="E56" s="199"/>
      <c r="F56" s="200">
        <f t="shared" si="3"/>
        <v>0</v>
      </c>
      <c r="G56" s="190"/>
      <c r="H56" s="215"/>
      <c r="I56" s="209"/>
      <c r="J56" s="214"/>
      <c r="K56" s="210"/>
      <c r="L56" s="211"/>
      <c r="M56" s="214"/>
      <c r="N56" s="209"/>
      <c r="O56" s="210"/>
      <c r="P56" s="211"/>
      <c r="Q56" s="212"/>
      <c r="R56" s="196"/>
    </row>
    <row r="57" spans="1:18" s="197" customFormat="1" ht="18.2" customHeight="1">
      <c r="A57" s="338" t="s">
        <v>56</v>
      </c>
      <c r="B57" s="329" t="s">
        <v>76</v>
      </c>
      <c r="C57" s="329"/>
      <c r="D57" s="216">
        <f>D58</f>
        <v>4693</v>
      </c>
      <c r="E57" s="199">
        <f aca="true" t="shared" si="8" ref="E57:E59">Q57</f>
        <v>4079</v>
      </c>
      <c r="F57" s="200">
        <f>E57-D57</f>
        <v>-614</v>
      </c>
      <c r="G57" s="190">
        <f aca="true" t="shared" si="9" ref="G57">F57/D57</f>
        <v>-0.1308331557639037</v>
      </c>
      <c r="H57" s="208" t="s">
        <v>56</v>
      </c>
      <c r="I57" s="209"/>
      <c r="J57" s="209"/>
      <c r="K57" s="209"/>
      <c r="L57" s="209"/>
      <c r="M57" s="209"/>
      <c r="N57" s="209"/>
      <c r="O57" s="209"/>
      <c r="P57" s="211"/>
      <c r="Q57" s="212">
        <f>Q58</f>
        <v>4079</v>
      </c>
      <c r="R57" s="196"/>
    </row>
    <row r="58" spans="1:18" s="197" customFormat="1" ht="18.2" customHeight="1">
      <c r="A58" s="338"/>
      <c r="B58" s="329" t="s">
        <v>56</v>
      </c>
      <c r="C58" s="198" t="s">
        <v>66</v>
      </c>
      <c r="D58" s="216">
        <f>D59</f>
        <v>4693</v>
      </c>
      <c r="E58" s="199">
        <f t="shared" si="8"/>
        <v>4079</v>
      </c>
      <c r="F58" s="200">
        <f>E58-D58</f>
        <v>-614</v>
      </c>
      <c r="G58" s="190">
        <f aca="true" t="shared" si="10" ref="G58">F58/D58</f>
        <v>-0.1308331557639037</v>
      </c>
      <c r="H58" s="208"/>
      <c r="I58" s="209"/>
      <c r="J58" s="209"/>
      <c r="K58" s="209"/>
      <c r="L58" s="209"/>
      <c r="M58" s="209"/>
      <c r="N58" s="209"/>
      <c r="O58" s="209"/>
      <c r="P58" s="211"/>
      <c r="Q58" s="212">
        <f>Q59</f>
        <v>4079</v>
      </c>
      <c r="R58" s="196"/>
    </row>
    <row r="59" spans="1:18" s="197" customFormat="1" ht="18.2" customHeight="1">
      <c r="A59" s="338"/>
      <c r="B59" s="329"/>
      <c r="C59" s="198" t="s">
        <v>56</v>
      </c>
      <c r="D59" s="199">
        <v>4693</v>
      </c>
      <c r="E59" s="199">
        <f t="shared" si="8"/>
        <v>4079</v>
      </c>
      <c r="F59" s="200">
        <f t="shared" si="3"/>
        <v>-614</v>
      </c>
      <c r="G59" s="190">
        <f aca="true" t="shared" si="11" ref="G59">F59/D59</f>
        <v>-0.1308331557639037</v>
      </c>
      <c r="H59" s="208" t="s">
        <v>177</v>
      </c>
      <c r="I59" s="209"/>
      <c r="J59" s="209"/>
      <c r="K59" s="209"/>
      <c r="L59" s="209"/>
      <c r="M59" s="209"/>
      <c r="N59" s="209"/>
      <c r="O59" s="209"/>
      <c r="P59" s="211"/>
      <c r="Q59" s="212">
        <v>4079</v>
      </c>
      <c r="R59" s="196"/>
    </row>
    <row r="60" spans="1:18" s="197" customFormat="1" ht="18.2" customHeight="1">
      <c r="A60" s="338" t="s">
        <v>131</v>
      </c>
      <c r="B60" s="329" t="s">
        <v>5</v>
      </c>
      <c r="C60" s="329"/>
      <c r="D60" s="216">
        <f>D61</f>
        <v>0</v>
      </c>
      <c r="E60" s="199">
        <f>E61</f>
        <v>0</v>
      </c>
      <c r="F60" s="200">
        <f t="shared" si="3"/>
        <v>0</v>
      </c>
      <c r="G60" s="190"/>
      <c r="H60" s="257"/>
      <c r="I60" s="209"/>
      <c r="J60" s="209"/>
      <c r="K60" s="209"/>
      <c r="L60" s="209"/>
      <c r="M60" s="209"/>
      <c r="N60" s="209"/>
      <c r="O60" s="209"/>
      <c r="P60" s="211"/>
      <c r="Q60" s="212"/>
      <c r="R60" s="196"/>
    </row>
    <row r="61" spans="1:18" s="197" customFormat="1" ht="18.2" customHeight="1">
      <c r="A61" s="338"/>
      <c r="B61" s="329" t="s">
        <v>131</v>
      </c>
      <c r="C61" s="198" t="s">
        <v>6</v>
      </c>
      <c r="D61" s="216">
        <f>D62</f>
        <v>0</v>
      </c>
      <c r="E61" s="199">
        <f>E62</f>
        <v>0</v>
      </c>
      <c r="F61" s="200">
        <f t="shared" si="3"/>
        <v>0</v>
      </c>
      <c r="G61" s="190"/>
      <c r="H61" s="257"/>
      <c r="I61" s="209"/>
      <c r="J61" s="209"/>
      <c r="K61" s="209"/>
      <c r="L61" s="209"/>
      <c r="M61" s="209"/>
      <c r="N61" s="209"/>
      <c r="O61" s="209"/>
      <c r="P61" s="211"/>
      <c r="Q61" s="212"/>
      <c r="R61" s="196"/>
    </row>
    <row r="62" spans="1:18" s="197" customFormat="1" ht="18.2" customHeight="1">
      <c r="A62" s="338"/>
      <c r="B62" s="329"/>
      <c r="C62" s="198" t="s">
        <v>131</v>
      </c>
      <c r="D62" s="199"/>
      <c r="E62" s="199">
        <f>Q62</f>
        <v>0</v>
      </c>
      <c r="F62" s="200">
        <f t="shared" si="3"/>
        <v>0</v>
      </c>
      <c r="G62" s="190"/>
      <c r="H62" s="208"/>
      <c r="I62" s="209"/>
      <c r="J62" s="209"/>
      <c r="K62" s="209"/>
      <c r="L62" s="209"/>
      <c r="M62" s="209"/>
      <c r="N62" s="209"/>
      <c r="O62" s="209"/>
      <c r="P62" s="211"/>
      <c r="Q62" s="212"/>
      <c r="R62" s="196"/>
    </row>
    <row r="63" spans="1:18" s="197" customFormat="1" ht="18.2" customHeight="1">
      <c r="A63" s="338" t="s">
        <v>73</v>
      </c>
      <c r="B63" s="329" t="s">
        <v>76</v>
      </c>
      <c r="C63" s="329"/>
      <c r="D63" s="216">
        <f>D64</f>
        <v>329533</v>
      </c>
      <c r="E63" s="199">
        <f>E64</f>
        <v>324839</v>
      </c>
      <c r="F63" s="200">
        <f t="shared" si="3"/>
        <v>-4694</v>
      </c>
      <c r="G63" s="190"/>
      <c r="H63" s="208"/>
      <c r="I63" s="209"/>
      <c r="J63" s="209"/>
      <c r="K63" s="209"/>
      <c r="L63" s="209"/>
      <c r="M63" s="209"/>
      <c r="N63" s="209"/>
      <c r="O63" s="209"/>
      <c r="P63" s="211"/>
      <c r="Q63" s="212">
        <f>Q65</f>
        <v>324839</v>
      </c>
      <c r="R63" s="196"/>
    </row>
    <row r="64" spans="1:18" s="197" customFormat="1" ht="18.2" customHeight="1">
      <c r="A64" s="338"/>
      <c r="B64" s="329" t="s">
        <v>73</v>
      </c>
      <c r="C64" s="198" t="s">
        <v>66</v>
      </c>
      <c r="D64" s="216">
        <f>D65</f>
        <v>329533</v>
      </c>
      <c r="E64" s="216">
        <f>E65</f>
        <v>324839</v>
      </c>
      <c r="F64" s="200">
        <f t="shared" si="3"/>
        <v>-4694</v>
      </c>
      <c r="G64" s="190"/>
      <c r="H64" s="208"/>
      <c r="I64" s="209"/>
      <c r="J64" s="209"/>
      <c r="K64" s="209"/>
      <c r="L64" s="209"/>
      <c r="M64" s="209"/>
      <c r="N64" s="209"/>
      <c r="O64" s="209"/>
      <c r="P64" s="211"/>
      <c r="Q64" s="212">
        <f>Q65</f>
        <v>324839</v>
      </c>
      <c r="R64" s="196"/>
    </row>
    <row r="65" spans="1:18" s="197" customFormat="1" ht="18.2" customHeight="1">
      <c r="A65" s="346"/>
      <c r="B65" s="347"/>
      <c r="C65" s="232" t="s">
        <v>73</v>
      </c>
      <c r="D65" s="233">
        <v>329533</v>
      </c>
      <c r="E65" s="233">
        <f>Q65</f>
        <v>324839</v>
      </c>
      <c r="F65" s="234">
        <f t="shared" si="3"/>
        <v>-4694</v>
      </c>
      <c r="G65" s="235"/>
      <c r="H65" s="247" t="s">
        <v>73</v>
      </c>
      <c r="I65" s="237"/>
      <c r="J65" s="237"/>
      <c r="K65" s="237"/>
      <c r="L65" s="237"/>
      <c r="M65" s="237"/>
      <c r="N65" s="237"/>
      <c r="O65" s="237"/>
      <c r="P65" s="240"/>
      <c r="Q65" s="241">
        <v>324839</v>
      </c>
      <c r="R65" s="196"/>
    </row>
    <row r="66" spans="4:18" s="248" customFormat="1" ht="18.6" customHeight="1">
      <c r="D66" s="249"/>
      <c r="E66" s="250"/>
      <c r="G66" s="251"/>
      <c r="H66" s="252"/>
      <c r="I66" s="252"/>
      <c r="J66" s="252"/>
      <c r="K66" s="252"/>
      <c r="L66" s="252"/>
      <c r="M66" s="252"/>
      <c r="N66" s="252"/>
      <c r="O66" s="252"/>
      <c r="P66" s="253"/>
      <c r="Q66" s="252"/>
      <c r="R66" s="249"/>
    </row>
  </sheetData>
  <mergeCells count="45">
    <mergeCell ref="H4:Q5"/>
    <mergeCell ref="F4:G4"/>
    <mergeCell ref="B8:B28"/>
    <mergeCell ref="B7:C7"/>
    <mergeCell ref="G10:G12"/>
    <mergeCell ref="G13:G21"/>
    <mergeCell ref="A1:F1"/>
    <mergeCell ref="A7:A28"/>
    <mergeCell ref="D10:D12"/>
    <mergeCell ref="E10:E12"/>
    <mergeCell ref="E13:E21"/>
    <mergeCell ref="D4:D5"/>
    <mergeCell ref="E4:E5"/>
    <mergeCell ref="A4:C4"/>
    <mergeCell ref="A6:C6"/>
    <mergeCell ref="C10:C12"/>
    <mergeCell ref="F10:F12"/>
    <mergeCell ref="C23:C27"/>
    <mergeCell ref="A54:A56"/>
    <mergeCell ref="B55:B56"/>
    <mergeCell ref="B54:C54"/>
    <mergeCell ref="B38:C38"/>
    <mergeCell ref="A38:A41"/>
    <mergeCell ref="A63:A65"/>
    <mergeCell ref="B64:B65"/>
    <mergeCell ref="B63:C63"/>
    <mergeCell ref="A57:A59"/>
    <mergeCell ref="B57:C57"/>
    <mergeCell ref="B58:B59"/>
    <mergeCell ref="A60:A62"/>
    <mergeCell ref="B60:C60"/>
    <mergeCell ref="B61:B62"/>
    <mergeCell ref="H36:I36"/>
    <mergeCell ref="C13:C21"/>
    <mergeCell ref="D13:D21"/>
    <mergeCell ref="F13:F21"/>
    <mergeCell ref="H35:I35"/>
    <mergeCell ref="B29:B31"/>
    <mergeCell ref="B39:B41"/>
    <mergeCell ref="B43:B45"/>
    <mergeCell ref="B42:C42"/>
    <mergeCell ref="A42:A53"/>
    <mergeCell ref="B46:B53"/>
    <mergeCell ref="A29:A37"/>
    <mergeCell ref="B32:B37"/>
  </mergeCells>
  <printOptions/>
  <pageMargins left="0.5905511811023623" right="0.5905511811023623" top="0.5118110236220472" bottom="0.4724409448818898" header="0.3937007874015748" footer="0.2362204724409449"/>
  <pageSetup horizontalDpi="300" verticalDpi="300" orientation="landscape" paperSize="9" r:id="rId1"/>
  <headerFooter alignWithMargins="0">
    <oddFooter>&amp;R&amp;"굴림,보통"&amp;9 2014년 성모공동생활가정 세출예산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workbookViewId="0" topLeftCell="A1">
      <selection activeCell="A2" sqref="A2:S2"/>
    </sheetView>
  </sheetViews>
  <sheetFormatPr defaultColWidth="8.88671875" defaultRowHeight="13.5"/>
  <cols>
    <col min="1" max="1" width="3.3359375" style="17" customWidth="1"/>
    <col min="2" max="2" width="6.6640625" style="18" customWidth="1"/>
    <col min="3" max="3" width="5.3359375" style="18" customWidth="1"/>
    <col min="4" max="4" width="3.5546875" style="18" customWidth="1"/>
    <col min="5" max="5" width="6.4453125" style="18" customWidth="1"/>
    <col min="6" max="6" width="7.3359375" style="18" customWidth="1"/>
    <col min="7" max="9" width="6.5546875" style="18" customWidth="1"/>
    <col min="10" max="10" width="5.99609375" style="18" customWidth="1"/>
    <col min="11" max="16" width="6.5546875" style="18" customWidth="1"/>
    <col min="17" max="17" width="8.10546875" style="18" customWidth="1"/>
    <col min="18" max="18" width="6.77734375" style="18" customWidth="1"/>
    <col min="19" max="19" width="7.77734375" style="18" customWidth="1"/>
  </cols>
  <sheetData>
    <row r="1" ht="35.1" customHeight="1"/>
    <row r="2" spans="1:19" ht="35.1" customHeight="1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19" ht="35.1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</row>
    <row r="4" spans="1:19" ht="35.1" customHeight="1">
      <c r="A4" s="373" t="s">
        <v>33</v>
      </c>
      <c r="B4" s="375" t="s">
        <v>34</v>
      </c>
      <c r="C4" s="377" t="s">
        <v>35</v>
      </c>
      <c r="D4" s="379" t="s">
        <v>36</v>
      </c>
      <c r="E4" s="379" t="s">
        <v>37</v>
      </c>
      <c r="F4" s="381" t="s">
        <v>38</v>
      </c>
      <c r="G4" s="383" t="s">
        <v>39</v>
      </c>
      <c r="H4" s="384"/>
      <c r="I4" s="384"/>
      <c r="J4" s="384"/>
      <c r="K4" s="384"/>
      <c r="L4" s="384"/>
      <c r="M4" s="384"/>
      <c r="N4" s="384"/>
      <c r="O4" s="384"/>
      <c r="P4" s="385"/>
      <c r="Q4" s="368" t="s">
        <v>40</v>
      </c>
      <c r="R4" s="368" t="s">
        <v>41</v>
      </c>
      <c r="S4" s="370" t="s">
        <v>42</v>
      </c>
    </row>
    <row r="5" spans="1:19" ht="35.1" customHeight="1">
      <c r="A5" s="374"/>
      <c r="B5" s="376"/>
      <c r="C5" s="378"/>
      <c r="D5" s="380"/>
      <c r="E5" s="380"/>
      <c r="F5" s="382"/>
      <c r="G5" s="22" t="s">
        <v>43</v>
      </c>
      <c r="H5" s="22" t="s">
        <v>44</v>
      </c>
      <c r="I5" s="22" t="s">
        <v>45</v>
      </c>
      <c r="J5" s="152" t="s">
        <v>196</v>
      </c>
      <c r="K5" s="22" t="s">
        <v>46</v>
      </c>
      <c r="L5" s="22" t="s">
        <v>47</v>
      </c>
      <c r="M5" s="161" t="s">
        <v>173</v>
      </c>
      <c r="N5" s="22" t="s">
        <v>48</v>
      </c>
      <c r="O5" s="22" t="s">
        <v>207</v>
      </c>
      <c r="P5" s="268" t="s">
        <v>206</v>
      </c>
      <c r="Q5" s="369"/>
      <c r="R5" s="369"/>
      <c r="S5" s="371"/>
    </row>
    <row r="6" spans="1:19" ht="35.1" customHeight="1">
      <c r="A6" s="23">
        <v>1</v>
      </c>
      <c r="B6" s="24" t="s">
        <v>49</v>
      </c>
      <c r="C6" s="24" t="s">
        <v>209</v>
      </c>
      <c r="D6" s="24">
        <v>8</v>
      </c>
      <c r="E6" s="25">
        <v>1267000</v>
      </c>
      <c r="F6" s="26">
        <f>시세출!Q9</f>
        <v>15204000</v>
      </c>
      <c r="G6" s="26">
        <f>시세출!Q11</f>
        <v>5068000</v>
      </c>
      <c r="H6" s="26">
        <f>시세출!Q12</f>
        <v>2153900</v>
      </c>
      <c r="I6" s="26">
        <f>E6*100%</f>
        <v>1267000</v>
      </c>
      <c r="J6" s="26">
        <f>시세출!Q15</f>
        <v>633500</v>
      </c>
      <c r="K6" s="26">
        <f>시세출!Q16</f>
        <v>600000</v>
      </c>
      <c r="L6" s="26">
        <f>30000*12</f>
        <v>360000</v>
      </c>
      <c r="M6" s="26">
        <v>360000</v>
      </c>
      <c r="N6" s="26">
        <f>시세출!Q18</f>
        <v>3480000</v>
      </c>
      <c r="O6" s="26">
        <f>시세출!Q21</f>
        <v>1366800</v>
      </c>
      <c r="P6" s="26">
        <f>시세출!Q20</f>
        <v>840000</v>
      </c>
      <c r="Q6" s="26">
        <f>SUM(F6:P6)</f>
        <v>31333200</v>
      </c>
      <c r="R6" s="26">
        <v>3071250</v>
      </c>
      <c r="S6" s="29">
        <f>Q6-R6</f>
        <v>28261950</v>
      </c>
    </row>
    <row r="7" spans="7:8" ht="35.1" customHeight="1">
      <c r="G7" s="27"/>
      <c r="H7" s="28"/>
    </row>
    <row r="8" spans="7:8" ht="35.1" customHeight="1">
      <c r="G8" s="27"/>
      <c r="H8" s="28"/>
    </row>
    <row r="9" spans="7:8" ht="35.1" customHeight="1">
      <c r="G9" s="27"/>
      <c r="H9" s="28"/>
    </row>
    <row r="10" spans="7:8" ht="35.1" customHeight="1">
      <c r="G10" s="27"/>
      <c r="H10" s="28"/>
    </row>
    <row r="11" spans="7:8" ht="35.1" customHeight="1">
      <c r="G11" s="27"/>
      <c r="H11" s="27"/>
    </row>
    <row r="12" ht="35.1" customHeight="1"/>
    <row r="13" ht="35.1" customHeight="1"/>
    <row r="14" ht="35.1" customHeight="1"/>
  </sheetData>
  <mergeCells count="11">
    <mergeCell ref="R4:R5"/>
    <mergeCell ref="S4:S5"/>
    <mergeCell ref="A2:S2"/>
    <mergeCell ref="A4:A5"/>
    <mergeCell ref="B4:B5"/>
    <mergeCell ref="C4:C5"/>
    <mergeCell ref="D4:D5"/>
    <mergeCell ref="E4:E5"/>
    <mergeCell ref="F4:F5"/>
    <mergeCell ref="Q4:Q5"/>
    <mergeCell ref="G4:P4"/>
  </mergeCells>
  <printOptions/>
  <pageMargins left="0.4" right="0.41" top="0.7874015748031497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성심</dc:creator>
  <cp:keywords/>
  <dc:description/>
  <cp:lastModifiedBy>user</cp:lastModifiedBy>
  <cp:lastPrinted>2014-01-20T17:05:12Z</cp:lastPrinted>
  <dcterms:created xsi:type="dcterms:W3CDTF">1999-02-13T04:04:36Z</dcterms:created>
  <dcterms:modified xsi:type="dcterms:W3CDTF">2014-04-11T07:49:42Z</dcterms:modified>
  <cp:category/>
  <cp:version/>
  <cp:contentType/>
  <cp:contentStatus/>
</cp:coreProperties>
</file>